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mKBVDPwF5JQF3QxAGTIpsP9dFEfVT2KVBA8nMp8PoglGYt5JEJbMCskcMIRJ6RgsLu2N2GmtHOQonZnjljb1wA==" workbookSaltValue="SZIX+hZ+p0n0Wo7x8EK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N26" i="2"/>
  <c r="K30" i="2"/>
  <c r="F30" i="17"/>
  <c r="F26" i="17"/>
  <c r="F14" i="7"/>
  <c r="T14" i="20"/>
  <c r="BB26" i="13"/>
  <c r="BD9" i="8"/>
  <c r="AH14" i="16"/>
  <c r="AO14" i="21"/>
  <c r="AP14" i="16"/>
  <c r="U26" i="16"/>
  <c r="BE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BF16" i="8"/>
  <c r="F16" i="11"/>
  <c r="AQ16" i="11" s="1"/>
  <c r="T31" i="8"/>
  <c r="H28" i="2"/>
  <c r="U13" i="16"/>
  <c r="P13" i="14"/>
  <c r="R13" i="17"/>
  <c r="R8" i="9"/>
  <c r="S18" i="17"/>
  <c r="R30" i="17"/>
  <c r="S28" i="17"/>
  <c r="X20" i="16"/>
  <c r="BF17" i="13"/>
  <c r="I13" i="14"/>
  <c r="BF16" i="13"/>
  <c r="BG17" i="13"/>
  <c r="BU16" i="17"/>
  <c r="AZ16" i="11"/>
  <c r="AZ23" i="11" s="1"/>
  <c r="BJ25" i="11"/>
  <c r="AO28" i="17"/>
  <c r="BM16" i="11"/>
  <c r="BH18" i="11"/>
  <c r="BL13" i="11"/>
  <c r="BH13" i="11"/>
  <c r="BG16" i="11"/>
  <c r="BH20" i="11"/>
  <c r="BK25" i="11"/>
  <c r="Q10" i="21"/>
  <c r="BG29" i="11"/>
  <c r="V18" i="16"/>
  <c r="S18" i="16"/>
  <c r="BK12" i="11"/>
  <c r="BL18" i="11"/>
  <c r="BF19" i="11"/>
  <c r="BL9" i="11"/>
  <c r="X12" i="21"/>
  <c r="BH9" i="16"/>
  <c r="V16" i="11"/>
  <c r="BF13" i="11"/>
  <c r="BG25" i="11"/>
  <c r="BH16" i="16"/>
  <c r="Q18" i="20"/>
  <c r="Q23" i="20" s="1"/>
  <c r="BF28" i="11"/>
  <c r="BF18" i="11"/>
  <c r="BG20" i="11"/>
  <c r="BG22" i="11"/>
  <c r="BK29" i="11"/>
  <c r="AZ19" i="11"/>
  <c r="BK21" i="11"/>
  <c r="V11" i="11"/>
  <c r="BI25" i="11"/>
  <c r="BM12" i="11"/>
  <c r="V13" i="11"/>
  <c r="V9" i="11"/>
  <c r="BI19" i="11"/>
  <c r="BJ16" i="11"/>
  <c r="AP22" i="20"/>
  <c r="AP16" i="20"/>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BH30" i="16"/>
  <c r="S13" i="14"/>
  <c r="V13" i="14" s="1"/>
  <c r="S18" i="14"/>
  <c r="V18" i="14"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C32" i="20"/>
  <c r="O10" i="11"/>
  <c r="U17" i="11"/>
  <c r="W32" i="21"/>
  <c r="AA32" i="20"/>
  <c r="AV32" i="20"/>
  <c r="AP32" i="20"/>
  <c r="AQ32" i="20"/>
  <c r="K17" i="12" l="1"/>
  <c r="I16" i="12"/>
  <c r="BF11" i="11"/>
  <c r="T9" i="11"/>
  <c r="S20" i="14"/>
  <c r="V20" i="14" s="1"/>
  <c r="BH16" i="11"/>
  <c r="P18" i="17"/>
  <c r="BF29" i="11"/>
  <c r="BK19" i="11"/>
  <c r="BJ21" i="11"/>
  <c r="BF22" i="11"/>
  <c r="BI16" i="11"/>
  <c r="BM13" i="11"/>
  <c r="Q13" i="11" s="1"/>
  <c r="BG9" i="11"/>
  <c r="BL11" i="11"/>
  <c r="R18" i="20"/>
  <c r="R23" i="20" s="1"/>
  <c r="BL21" i="11"/>
  <c r="Q21" i="11" s="1"/>
  <c r="BK18" i="11"/>
  <c r="T18" i="16"/>
  <c r="AP18" i="20"/>
  <c r="BG21" i="11"/>
  <c r="BU25" i="17"/>
  <c r="BV19" i="16"/>
  <c r="BW19" i="20"/>
  <c r="BV18" i="16"/>
  <c r="BW18" i="20"/>
  <c r="BU10" i="17"/>
  <c r="BU33" i="17" s="1"/>
  <c r="BV12" i="16"/>
  <c r="BW25" i="20"/>
  <c r="BW12" i="20"/>
  <c r="BU22" i="17"/>
  <c r="BV16" i="16"/>
  <c r="BW16" i="20"/>
  <c r="BU20" i="17"/>
  <c r="U10" i="17"/>
  <c r="BW29" i="20"/>
  <c r="BV10" i="16"/>
  <c r="BV14" i="16" s="1"/>
  <c r="BW22" i="20"/>
  <c r="BU18" i="17"/>
  <c r="BV29" i="16"/>
  <c r="V12" i="16"/>
  <c r="BW21" i="20"/>
  <c r="BU12" i="17"/>
  <c r="BV9" i="16"/>
  <c r="AZ17" i="11"/>
  <c r="T16" i="11"/>
  <c r="BG12" i="11"/>
  <c r="Q18" i="17"/>
  <c r="BI20" i="11"/>
  <c r="BH10" i="11"/>
  <c r="BI9" i="11"/>
  <c r="AQ10" i="21"/>
  <c r="BL28" i="11"/>
  <c r="AO29" i="17"/>
  <c r="BL10" i="11"/>
  <c r="S10" i="17"/>
  <c r="BH10" i="16"/>
  <c r="BI29" i="11"/>
  <c r="BH11" i="11"/>
  <c r="BG17" i="11"/>
  <c r="BM21" i="11"/>
  <c r="BM9" i="11"/>
  <c r="AO25" i="17"/>
  <c r="BH12" i="16"/>
  <c r="BJ17" i="11"/>
  <c r="BJ23" i="11" s="1"/>
  <c r="BK22" i="11"/>
  <c r="BL17" i="11"/>
  <c r="BH22" i="11"/>
  <c r="L22" i="2"/>
  <c r="S16" i="17"/>
  <c r="S17" i="17"/>
  <c r="L12" i="2"/>
  <c r="X19" i="16"/>
  <c r="BK13" i="11"/>
  <c r="BM29" i="11"/>
  <c r="BK9" i="11"/>
  <c r="V21" i="11"/>
  <c r="BJ29" i="11"/>
  <c r="AZ13" i="11"/>
  <c r="V29" i="11"/>
  <c r="AZ21" i="11"/>
  <c r="BJ28" i="11"/>
  <c r="BU11" i="17"/>
  <c r="BW9" i="20"/>
  <c r="BU21" i="17"/>
  <c r="BV17" i="16"/>
  <c r="BW17" i="20"/>
  <c r="BV25" i="16"/>
  <c r="X21" i="16"/>
  <c r="BU9" i="17"/>
  <c r="BU19" i="17"/>
  <c r="BW10" i="20"/>
  <c r="BV22" i="16"/>
  <c r="BU17" i="17"/>
  <c r="BF20" i="11"/>
  <c r="S16" i="16"/>
  <c r="S23" i="16" s="1"/>
  <c r="BL20" i="11"/>
  <c r="Q20" i="11" s="1"/>
  <c r="BL16" i="11"/>
  <c r="BH21" i="11"/>
  <c r="AZ25" i="11"/>
  <c r="AZ30" i="11" s="1"/>
  <c r="BK17" i="11"/>
  <c r="BK23" i="11" s="1"/>
  <c r="BM18" i="11"/>
  <c r="BH17" i="11"/>
  <c r="AQ12" i="21"/>
  <c r="BH25" i="11"/>
  <c r="BI21" i="11"/>
  <c r="L10" i="2"/>
  <c r="X21" i="20"/>
  <c r="L16" i="2"/>
  <c r="L18" i="2"/>
  <c r="L9" i="2"/>
  <c r="V25" i="16"/>
  <c r="BH11" i="16"/>
  <c r="BH19" i="16"/>
  <c r="BH19" i="11"/>
  <c r="BK16" i="11"/>
  <c r="BH9" i="11"/>
  <c r="BJ12" i="11"/>
  <c r="BH28" i="16"/>
  <c r="V22" i="11"/>
  <c r="BM20" i="11"/>
  <c r="BU28" i="17"/>
  <c r="BV28" i="16"/>
  <c r="BV13" i="16"/>
  <c r="BW13" i="20"/>
  <c r="BV21" i="16"/>
  <c r="BU29" i="17"/>
  <c r="BV11" i="16"/>
  <c r="BW11" i="20"/>
  <c r="BW33" i="20" s="1"/>
  <c r="S21" i="17"/>
  <c r="BW28" i="20"/>
  <c r="BU13" i="17"/>
  <c r="S11" i="17"/>
  <c r="BV20" i="16"/>
  <c r="S25" i="17"/>
  <c r="AZ11" i="11"/>
  <c r="P16" i="17"/>
  <c r="P23" i="17" s="1"/>
  <c r="P31" i="17" s="1"/>
  <c r="BF12" i="11"/>
  <c r="BH25" i="16"/>
  <c r="BK20" i="11"/>
  <c r="BJ10" i="11"/>
  <c r="Q16" i="17"/>
  <c r="BF16" i="11"/>
  <c r="BL22" i="11"/>
  <c r="BI22" i="11"/>
  <c r="BK10" i="11"/>
  <c r="L28" i="2"/>
  <c r="L17" i="2"/>
  <c r="X10" i="21"/>
  <c r="X31" i="21" s="1"/>
  <c r="L20" i="2"/>
  <c r="U9" i="17"/>
  <c r="U31" i="17" s="1"/>
  <c r="V10" i="16"/>
  <c r="V9" i="16"/>
  <c r="X13" i="16"/>
  <c r="X16" i="16"/>
  <c r="X23" i="16" s="1"/>
  <c r="X26" i="16" s="1"/>
  <c r="AA11" i="16"/>
  <c r="AP14" i="20"/>
  <c r="V10" i="21"/>
  <c r="AO18" i="17"/>
  <c r="AO9" i="17"/>
  <c r="AO16" i="17"/>
  <c r="AM20" i="11"/>
  <c r="I9" i="12"/>
  <c r="AO13" i="17"/>
  <c r="AM12" i="11"/>
  <c r="AO12" i="17"/>
  <c r="AP14" i="21"/>
  <c r="AM9" i="11"/>
  <c r="AP30" i="21"/>
  <c r="AM25" i="11"/>
  <c r="AP23" i="20"/>
  <c r="AP26" i="21"/>
  <c r="X14" i="20"/>
  <c r="X9" i="16"/>
  <c r="X31" i="16" s="1"/>
  <c r="L25" i="2"/>
  <c r="L19" i="2"/>
  <c r="L11" i="2"/>
  <c r="AZ22" i="11"/>
  <c r="AZ12" i="11"/>
  <c r="X17" i="20"/>
  <c r="X22" i="20"/>
  <c r="X18" i="17"/>
  <c r="AA16" i="16"/>
  <c r="X17" i="17"/>
  <c r="AA25" i="16"/>
  <c r="S11" i="14"/>
  <c r="V11" i="14" s="1"/>
  <c r="T28" i="11"/>
  <c r="T19" i="11"/>
  <c r="R28" i="14"/>
  <c r="R18" i="14"/>
  <c r="S28" i="14"/>
  <c r="V28" i="14" s="1"/>
  <c r="S21" i="14"/>
  <c r="V21" i="14" s="1"/>
  <c r="S10" i="14"/>
  <c r="V10"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J20" i="11"/>
  <c r="R10" i="21"/>
  <c r="BH22" i="16"/>
  <c r="BJ11" i="11"/>
  <c r="BH20" i="16"/>
  <c r="AP21" i="20"/>
  <c r="AP10" i="21"/>
  <c r="AZ18" i="11"/>
  <c r="BK11" i="11"/>
  <c r="BK14" i="11" s="1"/>
  <c r="V12" i="21"/>
  <c r="BL12" i="11"/>
  <c r="BF10" i="11"/>
  <c r="BF17" i="11"/>
  <c r="Q17" i="11" s="1"/>
  <c r="V25" i="11"/>
  <c r="BF21" i="11"/>
  <c r="V11" i="16"/>
  <c r="BM17" i="11"/>
  <c r="BG10" i="11"/>
  <c r="BJ18" i="11"/>
  <c r="BJ22" i="11"/>
  <c r="BL19" i="11"/>
  <c r="AP17" i="20"/>
  <c r="BH21" i="16"/>
  <c r="BH18" i="16"/>
  <c r="BJ19" i="11"/>
  <c r="BI28" i="11"/>
  <c r="BF25" i="11"/>
  <c r="AZ29" i="11"/>
  <c r="S9" i="17"/>
  <c r="BI10" i="11"/>
  <c r="BM25" i="11"/>
  <c r="V28" i="11"/>
  <c r="BI18" i="11"/>
  <c r="R25" i="14"/>
  <c r="V20" i="11"/>
  <c r="BL25" i="11"/>
  <c r="BG19" i="11"/>
  <c r="AZ9" i="11"/>
  <c r="BL29" i="11"/>
  <c r="Q29" i="11" s="1"/>
  <c r="T16" i="16"/>
  <c r="BW20" i="20"/>
  <c r="X22" i="16"/>
  <c r="U13" i="17"/>
  <c r="X12" i="17"/>
  <c r="S22" i="17"/>
  <c r="K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BR32" i="16"/>
  <c r="AX32" i="21"/>
  <c r="BP32" i="16"/>
  <c r="O32" i="20"/>
  <c r="AW32" i="11"/>
  <c r="AV32" i="21"/>
  <c r="O12" i="11"/>
  <c r="H32" i="17"/>
  <c r="AL31" i="21" l="1"/>
  <c r="E31" i="2"/>
  <c r="Q28" i="11"/>
  <c r="BH14" i="11"/>
  <c r="BI23" i="11"/>
  <c r="U14" i="17"/>
  <c r="P20" i="11"/>
  <c r="AZ31" i="11"/>
  <c r="AZ14" i="11"/>
  <c r="Q25" i="11"/>
  <c r="R14" i="21"/>
  <c r="R31" i="21" s="1"/>
  <c r="AZ26" i="1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<sst xmlns="http://schemas.openxmlformats.org/spreadsheetml/2006/main" count="2668" uniqueCount="1185">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</sst>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M+U25NKT06ZQj5FipMFV/5ru2zK93GQi1h5p9VTc0PsfLFSLiTZNz6JQgdNk2FOcorDWAvQuLElMNvTA0zQyg==" saltValue="PkcpxZ++aWA7hENezV2F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32.437545653761873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50</v>
      </c>
      <c r="D10" s="239">
        <f>IF(ISNUMBER(Datos!I10),Datos!I10," - ")</f>
        <v>50</v>
      </c>
      <c r="E10" s="240">
        <f>IF(ISNUMBER(Datos!J10),Datos!J10," - ")</f>
        <v>13</v>
      </c>
      <c r="F10" s="240">
        <f>IF(ISNUMBER(Datos!K10),Datos!K10," - ")</f>
        <v>26</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-0.26</v>
      </c>
      <c r="L10" s="1402">
        <f>IF(ISNUMBER(NºAsuntos!I10/NºAsuntos!G10),(NºAsuntos!I10/NºAsuntos!G10)*11," - ")</f>
        <v>15.653846153846155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13</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1680</v>
      </c>
      <c r="D16" s="239">
        <f>IF(ISNUMBER(IF(D_I="SI",Datos!I16,Datos!I16+Datos!AC16)),IF(D_I="SI",Datos!I16,Datos!I16+Datos!AC16)," - ")</f>
        <v>1625</v>
      </c>
      <c r="E16" s="240">
        <f>IF(ISNUMBER(IF(D_I="SI",Datos!J16,Datos!J16+Datos!AD16)),IF(D_I="SI",Datos!J16,Datos!J16+Datos!AD16)," - ")</f>
        <v>2957</v>
      </c>
      <c r="F16" s="240">
        <f>IF(ISNUMBER(IF(D_I="SI",Datos!K16,Datos!K16+Datos!AE16)),IF(D_I="SI",Datos!K16,Datos!K16+Datos!AE16)," - ")</f>
        <v>2810</v>
      </c>
      <c r="G16" s="1390" t="str">
        <f>IF(Datos!E16&lt;&gt;"",Datos!E16,Datos!D16)</f>
        <v>03</v>
      </c>
      <c r="H16" s="241">
        <f>IF(ISNUMBER(IF(D_I="SI",Datos!L16,Datos!L16+Datos!AF16)),IF(D_I="SI",Datos!L16,Datos!L16+Datos!AF16)," - ")</f>
        <v>1827</v>
      </c>
      <c r="I16" s="1400" t="str">
        <f>IF(ISNUMBER(Datos!AS16/Datos!BM16),Datos!AS16/Datos!BM16," - ")</f>
        <v xml:space="preserve"> - </v>
      </c>
      <c r="J16" s="1401">
        <f>IF(ISNUMBER(Datos!BY16/Datos!CN16),Datos!BY16/Datos!CN16," - ")</f>
        <v>0</v>
      </c>
      <c r="K16" s="244">
        <f t="shared" ref="K16:K22" si="3">IF(ISNUMBER((E16-F16)/C16),(E16-F16)/C16," - ")</f>
        <v>8.7499999999999994E-2</v>
      </c>
      <c r="L16" s="1402">
        <f>IF(ISNUMBER(NºAsuntos!I16/NºAsuntos!G16),(NºAsuntos!I16/NºAsuntos!G16)*11," - ")</f>
        <v>7.1519572953736654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55</v>
      </c>
      <c r="E18" s="240">
        <f>IF(ISNUMBER(IF(D_I="SI",Datos!J18,Datos!J18+Datos!AD18)),IF(D_I="SI",Datos!J18,Datos!J18+Datos!AD18)," - ")</f>
        <v>175</v>
      </c>
      <c r="F18" s="240">
        <f>IF(ISNUMBER(IF(D_I="SI",Datos!K18,Datos!K18+Datos!AE18)),IF(D_I="SI",Datos!K18,Datos!K18+Datos!AE18)," - ")</f>
        <v>175</v>
      </c>
      <c r="G18" s="1390" t="str">
        <f>IF(Datos!E18&lt;&gt;"",Datos!E18,Datos!D18)</f>
        <v>37</v>
      </c>
      <c r="H18" s="241">
        <f>IF(ISNUMBER(IF(D_I="SI",Datos!L18,Datos!L18+Datos!AF18)),IF(D_I="SI",Datos!L18,Datos!L18+Datos!AF18)," - ")</f>
        <v>60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3.7714285714285714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1750</v>
      </c>
      <c r="D23" s="1407">
        <f>SUBTOTAL(9,D16:D22)</f>
        <v>1690</v>
      </c>
      <c r="E23" s="1408">
        <f>SUBTOTAL(9,E16:E22)</f>
        <v>3132</v>
      </c>
      <c r="F23" s="1408">
        <f>SUBTOTAL(9,F16:F22)</f>
        <v>2985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1800</v>
      </c>
      <c r="D31" s="1435">
        <f>SUBTOTAL(9,D9:D30)</f>
        <v>1740</v>
      </c>
      <c r="E31" s="1436">
        <f>SUBTOTAL(9,E9:E30)</f>
        <v>3145</v>
      </c>
      <c r="F31" s="1436">
        <f>SUBTOTAL(9,F9:F30)</f>
        <v>3011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sI542EGlMMzhOeTdcE6tXYb9U4s686RMon86sdOu//WgaQ2mc3U1wTdh7GXoj3rgU4U7bFoCfXuwzHpsXJXHIA==" saltValue="QoGeeLySLkxfn9BffSVm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ZBNe/4NysfdOzynHDDDh/vX5hA6CSFncNMBZp2G1L3NdsxR2zoR8ssYO0ScFzDDS2Nc94AWFpD7Y058FVXhYQ==" saltValue="dFcCKA19lx+eLqOYiv4I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7826</v>
      </c>
      <c r="J9" s="194">
        <v>2698</v>
      </c>
      <c r="K9" s="194">
        <v>2565</v>
      </c>
      <c r="L9" s="194">
        <v>7959</v>
      </c>
      <c r="M9" s="194">
        <v>1043</v>
      </c>
      <c r="N9" s="194">
        <v>881</v>
      </c>
      <c r="O9" s="194">
        <v>1128</v>
      </c>
      <c r="P9" s="194">
        <v>751</v>
      </c>
      <c r="Q9" s="194">
        <v>792</v>
      </c>
      <c r="R9" s="194">
        <v>8954</v>
      </c>
      <c r="S9" s="194">
        <v>8312</v>
      </c>
      <c r="T9" s="194">
        <v>2891</v>
      </c>
      <c r="U9" s="194">
        <v>2682</v>
      </c>
      <c r="V9" s="194">
        <v>8521</v>
      </c>
      <c r="W9" s="194">
        <v>1215</v>
      </c>
      <c r="X9" s="201">
        <v>869</v>
      </c>
      <c r="Y9" s="204">
        <v>118</v>
      </c>
      <c r="Z9" s="194">
        <v>170</v>
      </c>
      <c r="AA9" s="194">
        <v>173</v>
      </c>
      <c r="AB9" s="194">
        <v>115</v>
      </c>
      <c r="AC9" s="194">
        <v>0</v>
      </c>
      <c r="AD9" s="194">
        <v>0</v>
      </c>
      <c r="AE9" s="194">
        <v>0</v>
      </c>
      <c r="AF9" s="201">
        <v>0</v>
      </c>
      <c r="AG9" s="204">
        <v>94</v>
      </c>
      <c r="AH9" s="194">
        <v>174</v>
      </c>
      <c r="AI9" s="194">
        <v>158</v>
      </c>
      <c r="AJ9" s="205">
        <v>110</v>
      </c>
      <c r="AK9" s="193">
        <v>0</v>
      </c>
      <c r="AL9" s="194">
        <v>0</v>
      </c>
      <c r="AM9" s="194">
        <v>0</v>
      </c>
      <c r="AN9" s="201">
        <v>0</v>
      </c>
      <c r="AO9" s="282">
        <v>7</v>
      </c>
      <c r="AP9" s="167">
        <v>7</v>
      </c>
      <c r="AQ9" s="167">
        <v>7</v>
      </c>
      <c r="AR9" s="206">
        <v>7</v>
      </c>
      <c r="AS9" s="379" t="s">
        <v>1064</v>
      </c>
      <c r="AT9" s="208"/>
      <c r="AU9" s="207"/>
      <c r="AV9" s="208"/>
      <c r="AW9" s="207"/>
      <c r="AX9" s="208"/>
      <c r="AY9" s="133">
        <f>IF(ISNUMBER(IF(J_V="SI",S9,S9+AG9)),IF(J_V="SI",S9,S9+AG9)," - ")</f>
        <v>8406</v>
      </c>
      <c r="AZ9" s="133">
        <f>IF(ISNUMBER(IF(J_V="SI",T9,T9+AH9)),IF(J_V="SI",T9,T9+AH9)," - ")</f>
        <v>3065</v>
      </c>
      <c r="BA9" s="134">
        <f>IF(ISNUMBER(IF(J_V="SI",U9,U9+AI9)),IF(J_V="SI",U9,U9+AI9)," - ")</f>
        <v>2840</v>
      </c>
      <c r="BB9" s="134">
        <f>IF(ISNUMBER(IF(J_V="SI",V9,V9+AJ9)),IF(J_V="SI",V9,V9+AJ9)," - ")</f>
        <v>8631</v>
      </c>
      <c r="BC9" s="135">
        <f>IF(ISNUMBER(X9),X9," - ")</f>
        <v>869</v>
      </c>
      <c r="BD9" s="136">
        <f>IF(ISNUMBER(BA9/AZ9),BA9/AZ9," - ")</f>
        <v>0.92659053833605221</v>
      </c>
      <c r="BE9" s="137">
        <f>IF(ISNUMBER(BB9/BA9),BB9/BA9, " - ")</f>
        <v>3.0390845070422534</v>
      </c>
      <c r="BF9" s="137">
        <f>IF(ISNUMBER(BC9/BA9),BC9/BA9, " - ")</f>
        <v>0.30598591549295773</v>
      </c>
      <c r="BG9" s="209">
        <f>IF(ISNUMBER((AY9+AZ9)/BA9),(AY9+AZ9)/BA9," - ")</f>
        <v>4.0390845070422534</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13</v>
      </c>
      <c r="K10" s="194">
        <v>26</v>
      </c>
      <c r="L10" s="194">
        <v>37</v>
      </c>
      <c r="M10" s="194">
        <v>19</v>
      </c>
      <c r="N10" s="194">
        <v>6</v>
      </c>
      <c r="O10" s="194">
        <v>1</v>
      </c>
      <c r="P10" s="194">
        <v>0</v>
      </c>
      <c r="Q10" s="194">
        <v>3</v>
      </c>
      <c r="R10" s="194">
        <v>62</v>
      </c>
      <c r="S10" s="194">
        <v>29</v>
      </c>
      <c r="T10" s="194">
        <v>27</v>
      </c>
      <c r="U10" s="194">
        <v>30</v>
      </c>
      <c r="V10" s="194">
        <v>26</v>
      </c>
      <c r="W10" s="194">
        <v>19</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29</v>
      </c>
      <c r="AZ10" s="139">
        <f t="shared" si="0"/>
        <v>27</v>
      </c>
      <c r="BA10" s="139">
        <f t="shared" si="0"/>
        <v>30</v>
      </c>
      <c r="BB10" s="139">
        <f t="shared" si="0"/>
        <v>26</v>
      </c>
      <c r="BC10" s="135">
        <f t="shared" si="0"/>
        <v>19</v>
      </c>
      <c r="BD10" s="136">
        <f>IF(ISNUMBER(BA10/AZ10),BA10/AZ10," - ")</f>
        <v>1.1111111111111112</v>
      </c>
      <c r="BE10" s="137">
        <f>IF(ISNUMBER(BB10/BA10),BB10/BA10, " - ")</f>
        <v>0.8666666666666667</v>
      </c>
      <c r="BF10" s="137">
        <f>IF(ISNUMBER(BC10/BA10),BC10/BA10, " - ")</f>
        <v>0.6333333333333333</v>
      </c>
      <c r="BG10" s="209">
        <f>IF(ISNUMBER((AY10+AZ10)/BA10),(AY10+AZ10)/BA10," - ")</f>
        <v>1.8666666666666667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7876</v>
      </c>
      <c r="J14" s="197">
        <f t="shared" si="7"/>
        <v>2711</v>
      </c>
      <c r="K14" s="197">
        <f t="shared" si="7"/>
        <v>2591</v>
      </c>
      <c r="L14" s="197">
        <f t="shared" si="7"/>
        <v>7996</v>
      </c>
      <c r="M14" s="197">
        <f t="shared" si="7"/>
        <v>1062</v>
      </c>
      <c r="N14" s="197">
        <f t="shared" si="7"/>
        <v>887</v>
      </c>
      <c r="O14" s="197">
        <f t="shared" si="7"/>
        <v>1129</v>
      </c>
      <c r="P14" s="197">
        <f t="shared" si="7"/>
        <v>751</v>
      </c>
      <c r="Q14" s="197">
        <f t="shared" si="7"/>
        <v>795</v>
      </c>
      <c r="R14" s="197">
        <f t="shared" si="7"/>
        <v>9016</v>
      </c>
      <c r="S14" s="197">
        <f t="shared" si="7"/>
        <v>8341</v>
      </c>
      <c r="T14" s="197">
        <f t="shared" si="7"/>
        <v>2918</v>
      </c>
      <c r="U14" s="197">
        <f t="shared" si="7"/>
        <v>2712</v>
      </c>
      <c r="V14" s="197">
        <f t="shared" si="7"/>
        <v>8547</v>
      </c>
      <c r="W14" s="197">
        <f t="shared" si="7"/>
        <v>1234</v>
      </c>
      <c r="X14" s="197">
        <f t="shared" si="7"/>
        <v>873</v>
      </c>
      <c r="Y14" s="197">
        <f t="shared" si="7"/>
        <v>118</v>
      </c>
      <c r="Z14" s="197">
        <f t="shared" si="7"/>
        <v>170</v>
      </c>
      <c r="AA14" s="197">
        <f t="shared" si="7"/>
        <v>173</v>
      </c>
      <c r="AB14" s="197">
        <f t="shared" si="7"/>
        <v>115</v>
      </c>
      <c r="AC14" s="197">
        <f t="shared" si="7"/>
        <v>0</v>
      </c>
      <c r="AD14" s="197">
        <f t="shared" si="7"/>
        <v>0</v>
      </c>
      <c r="AE14" s="197">
        <f t="shared" si="7"/>
        <v>0</v>
      </c>
      <c r="AF14" s="197">
        <f>SUBTOTAL(9,AF9:AF13)</f>
        <v>0</v>
      </c>
      <c r="AG14" s="197">
        <f t="shared" ref="AG14:AT14" si="8">SUBTOTAL(9,AG8:AG13)</f>
        <v>94</v>
      </c>
      <c r="AH14" s="197">
        <f t="shared" si="8"/>
        <v>174</v>
      </c>
      <c r="AI14" s="197">
        <f t="shared" si="8"/>
        <v>158</v>
      </c>
      <c r="AJ14" s="197">
        <f t="shared" si="8"/>
        <v>110</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8435</v>
      </c>
      <c r="AZ14" s="197">
        <f>SUBTOTAL(9,AZ8:AZ13)</f>
        <v>3092</v>
      </c>
      <c r="BA14" s="197">
        <f>SUBTOTAL(9,BA8:BA13)</f>
        <v>2870</v>
      </c>
      <c r="BB14" s="197">
        <f>SUBTOTAL(9,BB8:BB13)</f>
        <v>8657</v>
      </c>
      <c r="BC14" s="197">
        <f>SUBTOTAL(9,BC8:BC13)</f>
        <v>888</v>
      </c>
      <c r="BD14" s="219">
        <f>IF(ISNUMBER(BA14/AZ14),BA14/AZ14," - ")</f>
        <v>0.92820181112548517</v>
      </c>
      <c r="BE14" s="220">
        <f>IF(ISNUMBER(BB14/BA14),BB14/BA14, " - ")</f>
        <v>3.0163763066202089</v>
      </c>
      <c r="BF14" s="220">
        <f>IF(ISNUMBER(BC14/BA14),BC14/BA14, " - ")</f>
        <v>0.30940766550522647</v>
      </c>
      <c r="BG14" s="221">
        <f>IF(ISNUMBER((AY14+AZ14)/BA14),(AY14+AZ14)/BA14," - ")</f>
        <v>4.0163763066202094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1625</v>
      </c>
      <c r="J16" s="196">
        <v>2957</v>
      </c>
      <c r="K16" s="196">
        <v>2810</v>
      </c>
      <c r="L16" s="196">
        <v>1827</v>
      </c>
      <c r="M16" s="196">
        <v>386</v>
      </c>
      <c r="N16" s="196">
        <v>1909</v>
      </c>
      <c r="O16" s="194">
        <v>76</v>
      </c>
      <c r="P16" s="196">
        <v>97</v>
      </c>
      <c r="Q16" s="196">
        <v>166</v>
      </c>
      <c r="R16" s="196">
        <v>412</v>
      </c>
      <c r="S16" s="196">
        <v>1279</v>
      </c>
      <c r="T16" s="196">
        <v>2785</v>
      </c>
      <c r="U16" s="196">
        <v>2648</v>
      </c>
      <c r="V16" s="196">
        <v>1495</v>
      </c>
      <c r="W16" s="196">
        <v>401</v>
      </c>
      <c r="X16" s="202">
        <v>1665</v>
      </c>
      <c r="Y16" s="215">
        <v>0</v>
      </c>
      <c r="Z16" s="196">
        <v>0</v>
      </c>
      <c r="AA16" s="196">
        <v>0</v>
      </c>
      <c r="AB16" s="196">
        <v>0</v>
      </c>
      <c r="AC16" s="196">
        <v>0</v>
      </c>
      <c r="AD16" s="196">
        <v>2</v>
      </c>
      <c r="AE16" s="196">
        <v>2</v>
      </c>
      <c r="AF16" s="202">
        <v>0</v>
      </c>
      <c r="AG16" s="215">
        <v>0</v>
      </c>
      <c r="AH16" s="196">
        <v>0</v>
      </c>
      <c r="AI16" s="196">
        <v>0</v>
      </c>
      <c r="AJ16" s="216">
        <v>0</v>
      </c>
      <c r="AK16" s="195">
        <v>1</v>
      </c>
      <c r="AL16" s="196">
        <v>2</v>
      </c>
      <c r="AM16" s="196">
        <v>3</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1279</v>
      </c>
      <c r="AZ16" s="139">
        <f t="shared" si="10"/>
        <v>2785</v>
      </c>
      <c r="BA16" s="139">
        <f t="shared" si="10"/>
        <v>2648</v>
      </c>
      <c r="BB16" s="139">
        <f t="shared" si="10"/>
        <v>1495</v>
      </c>
      <c r="BC16" s="135">
        <f>IF(ISNUMBER(W16),W16," - ")</f>
        <v>401</v>
      </c>
      <c r="BD16" s="136">
        <f>IF(ISNUMBER(BA16/AZ16),BA16/AZ16," - ")</f>
        <v>0.95080789946140032</v>
      </c>
      <c r="BE16" s="137">
        <f>IF(ISNUMBER(BB16/BA16),BB16/BA16, " - ")</f>
        <v>0.56457703927492442</v>
      </c>
      <c r="BF16" s="137">
        <f>IF(ISNUMBER(BC16/BA16),BC16/BA16, " - ")</f>
        <v>0.15143504531722055</v>
      </c>
      <c r="BG16" s="209">
        <f t="shared" ref="BG16:BG22" si="11">IF(ISNUMBER((AY16+AZ16)/BA16),(AY16+AZ16)/BA16," - ")</f>
        <v>1.5347432024169185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0</v>
      </c>
      <c r="S17" s="196">
        <v>10</v>
      </c>
      <c r="T17" s="196">
        <v>0</v>
      </c>
      <c r="U17" s="196">
        <v>0</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10</v>
      </c>
      <c r="AZ17" s="137">
        <f t="shared" si="10"/>
        <v>0</v>
      </c>
      <c r="BA17" s="137">
        <f t="shared" si="10"/>
        <v>0</v>
      </c>
      <c r="BB17" s="137">
        <f t="shared" si="10"/>
        <v>10</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175</v>
      </c>
      <c r="K18" s="196">
        <v>175</v>
      </c>
      <c r="L18" s="196">
        <v>60</v>
      </c>
      <c r="M18" s="196">
        <v>51</v>
      </c>
      <c r="N18" s="196">
        <v>97</v>
      </c>
      <c r="O18" s="196">
        <v>0</v>
      </c>
      <c r="P18" s="196">
        <v>4</v>
      </c>
      <c r="Q18" s="196">
        <v>5</v>
      </c>
      <c r="R18" s="196">
        <v>17</v>
      </c>
      <c r="S18" s="196">
        <v>57</v>
      </c>
      <c r="T18" s="196">
        <v>146</v>
      </c>
      <c r="U18" s="196">
        <v>146</v>
      </c>
      <c r="V18" s="196">
        <v>57</v>
      </c>
      <c r="W18" s="196">
        <v>50</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57</v>
      </c>
      <c r="AZ18" s="139">
        <f t="shared" si="15"/>
        <v>146</v>
      </c>
      <c r="BA18" s="139">
        <f t="shared" si="15"/>
        <v>146</v>
      </c>
      <c r="BB18" s="139">
        <f t="shared" si="15"/>
        <v>57</v>
      </c>
      <c r="BC18" s="135">
        <f>IF(ISNUMBER(W18),W18," - ")</f>
        <v>50</v>
      </c>
      <c r="BD18" s="136">
        <f>IF(ISNUMBER(BA18/AZ18),BA18/AZ18," - ")</f>
        <v>1</v>
      </c>
      <c r="BE18" s="137">
        <f>IF(ISNUMBER(BB18/BA18),BB18/BA18, " - ")</f>
        <v>0.3904109589041096</v>
      </c>
      <c r="BF18" s="137">
        <f>IF(ISNUMBER(BC18/BA18),BC18/BA18, " - ")</f>
        <v>0.34246575342465752</v>
      </c>
      <c r="BG18" s="209">
        <f>IF(ISNUMBER((AY18+AZ18)/BA18),(AY18+AZ18)/BA18," - ")</f>
        <v>1.3904109589041096</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1690</v>
      </c>
      <c r="J23" s="197">
        <f t="shared" si="21"/>
        <v>3132</v>
      </c>
      <c r="K23" s="197">
        <f t="shared" si="21"/>
        <v>2985</v>
      </c>
      <c r="L23" s="197">
        <f t="shared" si="21"/>
        <v>1897</v>
      </c>
      <c r="M23" s="197">
        <f t="shared" si="21"/>
        <v>437</v>
      </c>
      <c r="N23" s="197">
        <f t="shared" si="21"/>
        <v>2006</v>
      </c>
      <c r="O23" s="197">
        <f t="shared" si="21"/>
        <v>76</v>
      </c>
      <c r="P23" s="197">
        <f t="shared" si="21"/>
        <v>101</v>
      </c>
      <c r="Q23" s="197">
        <f t="shared" si="21"/>
        <v>171</v>
      </c>
      <c r="R23" s="197">
        <f t="shared" si="21"/>
        <v>429</v>
      </c>
      <c r="S23" s="197">
        <f t="shared" si="21"/>
        <v>1346</v>
      </c>
      <c r="T23" s="197">
        <f t="shared" si="21"/>
        <v>2931</v>
      </c>
      <c r="U23" s="197">
        <f t="shared" si="21"/>
        <v>2794</v>
      </c>
      <c r="V23" s="197">
        <f t="shared" si="21"/>
        <v>1562</v>
      </c>
      <c r="W23" s="197">
        <f t="shared" si="21"/>
        <v>451</v>
      </c>
      <c r="X23" s="197">
        <f t="shared" si="21"/>
        <v>1734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2</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1346</v>
      </c>
      <c r="AZ23" s="197">
        <f>SUBTOTAL(9,AZ15:AZ22)</f>
        <v>2931</v>
      </c>
      <c r="BA23" s="197">
        <f>SUBTOTAL(9,BA15:BA22)</f>
        <v>2794</v>
      </c>
      <c r="BB23" s="197">
        <f>SUBTOTAL(9,BB15:BB22)</f>
        <v>1562</v>
      </c>
      <c r="BC23" s="197">
        <f>SUBTOTAL(9,BC15:BC22)</f>
        <v>451</v>
      </c>
      <c r="BD23" s="219">
        <f>IF(ISNUMBER(BA23/AZ23),BA23/AZ23," - ")</f>
        <v>0.95325827362674853</v>
      </c>
      <c r="BE23" s="220">
        <f>IF(ISNUMBER(BB23/BA23),BB23/BA23, " - ")</f>
        <v>0.55905511811023623</v>
      </c>
      <c r="BF23" s="220">
        <f>IF(ISNUMBER(BC23/BA23),BC23/BA23, " - ")</f>
        <v>0.16141732283464566</v>
      </c>
      <c r="BG23" s="221">
        <f>IF(ISNUMBER((AY23+AZ23)/BA23),(AY23+AZ23)/BA23," - ")</f>
        <v>1.5307802433786686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9566</v>
      </c>
      <c r="J31" s="144">
        <f t="shared" si="36"/>
        <v>5843</v>
      </c>
      <c r="K31" s="144">
        <f t="shared" si="36"/>
        <v>5576</v>
      </c>
      <c r="L31" s="144">
        <f t="shared" si="36"/>
        <v>9893</v>
      </c>
      <c r="M31" s="144">
        <f t="shared" si="36"/>
        <v>1499</v>
      </c>
      <c r="N31" s="144">
        <f t="shared" si="36"/>
        <v>2893</v>
      </c>
      <c r="O31" s="144">
        <f t="shared" si="36"/>
        <v>1205</v>
      </c>
      <c r="P31" s="144">
        <f t="shared" si="36"/>
        <v>852</v>
      </c>
      <c r="Q31" s="144">
        <f t="shared" si="36"/>
        <v>966</v>
      </c>
      <c r="R31" s="144">
        <f t="shared" si="36"/>
        <v>9445</v>
      </c>
      <c r="S31" s="144">
        <f t="shared" si="36"/>
        <v>9687</v>
      </c>
      <c r="T31" s="144">
        <f t="shared" si="36"/>
        <v>5849</v>
      </c>
      <c r="U31" s="144">
        <f t="shared" si="36"/>
        <v>5506</v>
      </c>
      <c r="V31" s="144">
        <f t="shared" si="36"/>
        <v>10109</v>
      </c>
      <c r="W31" s="144">
        <f t="shared" si="36"/>
        <v>1685</v>
      </c>
      <c r="X31" s="144">
        <f t="shared" si="36"/>
        <v>2607</v>
      </c>
      <c r="Y31" s="144">
        <f t="shared" si="36"/>
        <v>118</v>
      </c>
      <c r="Z31" s="144">
        <f t="shared" si="36"/>
        <v>170</v>
      </c>
      <c r="AA31" s="144">
        <f t="shared" si="36"/>
        <v>173</v>
      </c>
      <c r="AB31" s="144">
        <f t="shared" si="36"/>
        <v>115</v>
      </c>
      <c r="AC31" s="144">
        <f t="shared" si="36"/>
        <v>0</v>
      </c>
      <c r="AD31" s="144">
        <f t="shared" si="36"/>
        <v>2</v>
      </c>
      <c r="AE31" s="144">
        <f t="shared" si="36"/>
        <v>2</v>
      </c>
      <c r="AF31" s="144">
        <f t="shared" si="36"/>
        <v>0</v>
      </c>
      <c r="AG31" s="144">
        <f t="shared" si="36"/>
        <v>94</v>
      </c>
      <c r="AH31" s="144">
        <f t="shared" si="36"/>
        <v>174</v>
      </c>
      <c r="AI31" s="144">
        <f t="shared" si="36"/>
        <v>158</v>
      </c>
      <c r="AJ31" s="144">
        <f t="shared" si="36"/>
        <v>110</v>
      </c>
      <c r="AK31" s="144">
        <f t="shared" si="36"/>
        <v>1</v>
      </c>
      <c r="AL31" s="144">
        <f t="shared" si="36"/>
        <v>2</v>
      </c>
      <c r="AM31" s="144">
        <f t="shared" si="36"/>
        <v>3</v>
      </c>
      <c r="AN31" s="224">
        <f t="shared" si="36"/>
        <v>0</v>
      </c>
      <c r="AO31" s="225">
        <v>12</v>
      </c>
      <c r="AP31" s="225">
        <v>11</v>
      </c>
      <c r="AQ31" s="225">
        <v>11</v>
      </c>
      <c r="AR31" s="225">
        <v>11</v>
      </c>
      <c r="AS31" s="166">
        <f t="shared" si="36"/>
        <v>0</v>
      </c>
      <c r="AT31" s="166">
        <f t="shared" si="36"/>
        <v>0</v>
      </c>
      <c r="AU31" s="225"/>
      <c r="AV31" s="226"/>
      <c r="AW31" s="225"/>
      <c r="AX31" s="226"/>
      <c r="AY31" s="143">
        <f>SUBTOTAL(9,AY9:AY30)</f>
        <v>9781</v>
      </c>
      <c r="AZ31" s="144">
        <f>SUBTOTAL(9,AZ9:AZ30)</f>
        <v>6023</v>
      </c>
      <c r="BA31" s="144">
        <f>SUBTOTAL(9,BA9:BA30)</f>
        <v>5664</v>
      </c>
      <c r="BB31" s="144">
        <f>SUBTOTAL(9,BB9:BB30)</f>
        <v>10219</v>
      </c>
      <c r="BC31" s="145">
        <f>SUBTOTAL(9,BC9:BC30)</f>
        <v>1339</v>
      </c>
      <c r="BD31" s="227">
        <f>IF(ISNUMBER(BA31/AZ31),BA31/AZ31," - ")</f>
        <v>0.940395151917649</v>
      </c>
      <c r="BE31" s="224">
        <f>IF(ISNUMBER(BB31/BA31),BB31/BA31, " - ")</f>
        <v>1.80420197740113</v>
      </c>
      <c r="BF31" s="224">
        <f>IF(ISNUMBER(BC31/BA31),BC31/BA31, " - ")</f>
        <v>0.23640536723163841</v>
      </c>
      <c r="BG31" s="145">
        <f>IF(ISNUMBER((AY31+AZ31)/BA31),(AY31+AZ31)/BA31," - ")</f>
        <v>2.7902542372881354</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AKcf6DZCgqzF2avIvUAu0ZsQv0ri2Ddm2rSFHbnfob54wax9uJD05iRlzI4o90TuimlZL3dRNwcRqDFltuN9g==" saltValue="oxCaiUUv12xdj8zVE+Yn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2Y2EZfzLCB/nN+srxDIHsavA7HuRa8PyenPi2Y8BmzogrygfuiReaV5r9FYkYZEQ2txHDHYlQaBlfCT8OcoQ==" saltValue="f8QPsE6SCzszbQRprTCh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CRISTOBAL DE LA 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170</v>
      </c>
      <c r="O9" s="549"/>
      <c r="P9" s="549"/>
      <c r="Q9" s="547">
        <f>IF(ISNUMBER(Datos!P9),Datos!P9,0)</f>
        <v>751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792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115</v>
      </c>
      <c r="AI9" s="549" t="str">
        <f>IF(ISNUMBER(Datos!CD9),Datos!CD9,"-")</f>
        <v>-</v>
      </c>
      <c r="AJ9" s="549" t="str">
        <f>IF(ISNUMBER(Datos!EN9),Datos!EN9," - ")</f>
        <v xml:space="preserve"> - </v>
      </c>
      <c r="AK9" s="549"/>
      <c r="AL9" s="550"/>
      <c r="AM9" s="766">
        <f>IF(ISNUMBER(Datos!R9),Datos!R9," - ")</f>
        <v>8954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1043</v>
      </c>
      <c r="BD9" s="693">
        <f>IF(ISNUMBER(Datos!N9),Datos!N9," - ")</f>
        <v>881</v>
      </c>
      <c r="BE9" s="693" t="str">
        <f>IF(ISNUMBER(Datos!BW9),Datos!BW9," - ")</f>
        <v xml:space="preserve"> - </v>
      </c>
      <c r="BF9" s="762" t="str">
        <f>IF(ISNUMBER(Datos!BX9),Datos!BX9," - ")</f>
        <v xml:space="preserve"> - </v>
      </c>
      <c r="BG9" s="763">
        <f>IF(ISNUMBER(IF(J_V="SI",Datos!K9/Datos!J9,(Datos!K9+Datos!AA9)/(Datos!J9+Datos!Z9))),IF(J_V="SI",Datos!K9/Datos!J9,(Datos!K9+Datos!AA9)/(Datos!J9+Datos!Z9))," - ")</f>
        <v>0.95467224546722451</v>
      </c>
      <c r="BH9" s="764">
        <f>IF(ISNUMBER(((IF(J_V="SI",Datos!L9/Datos!K9,(Datos!L9+Datos!AB9)/(Datos!K9+Datos!AA9)))*11)/factor_trimestre),((IF(J_V="SI",Datos!L9/Datos!K9,(Datos!L9+Datos!AB9)/(Datos!K9+Datos!AA9)))*11)/factor_trimestre," - ")</f>
        <v>5.89773557341125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-4.5580878265703171E-3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3</v>
      </c>
      <c r="AD10" s="549"/>
      <c r="AE10" s="563"/>
      <c r="AF10" s="551">
        <f>IF(ISNUMBER(Datos!L10),Datos!L10,"-")</f>
        <v>37</v>
      </c>
      <c r="AG10" s="549"/>
      <c r="AH10" s="549"/>
      <c r="AI10" s="549"/>
      <c r="AJ10" s="549"/>
      <c r="AK10" s="549"/>
      <c r="AL10" s="550"/>
      <c r="AM10" s="766">
        <f>IF(ISNUMBER(Datos!R10),Datos!R10," - ")</f>
        <v>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6</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2.8461538461538463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-4.6153846153846156E-2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170</v>
      </c>
      <c r="O14" s="1199">
        <f t="shared" si="1"/>
        <v>0</v>
      </c>
      <c r="P14" s="1199">
        <f t="shared" si="1"/>
        <v>0</v>
      </c>
      <c r="Q14" s="1198">
        <f t="shared" si="1"/>
        <v>751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795</v>
      </c>
      <c r="AD14" s="1198">
        <f t="shared" si="2"/>
        <v>0</v>
      </c>
      <c r="AE14" s="1198">
        <f t="shared" si="2"/>
        <v>0</v>
      </c>
      <c r="AF14" s="1198">
        <f t="shared" si="2"/>
        <v>37</v>
      </c>
      <c r="AG14" s="1198">
        <f t="shared" si="2"/>
        <v>0</v>
      </c>
      <c r="AH14" s="1198">
        <f t="shared" si="2"/>
        <v>115</v>
      </c>
      <c r="AI14" s="1198">
        <f t="shared" si="2"/>
        <v>0</v>
      </c>
      <c r="AJ14" s="1198">
        <f t="shared" si="2"/>
        <v>0</v>
      </c>
      <c r="AK14" s="1198">
        <f t="shared" si="2"/>
        <v>0</v>
      </c>
      <c r="AL14" s="1198">
        <f t="shared" si="2"/>
        <v>0</v>
      </c>
      <c r="AM14" s="1198">
        <f t="shared" si="2"/>
        <v>9016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1062</v>
      </c>
      <c r="BD14" s="1198">
        <f t="shared" si="2"/>
        <v>887</v>
      </c>
      <c r="BE14" s="1198">
        <f t="shared" si="2"/>
        <v>0</v>
      </c>
      <c r="BF14" s="1198">
        <f t="shared" si="2"/>
        <v>0</v>
      </c>
      <c r="BG14" s="1198">
        <f>IF(ISNUMBER(Datos!K14/Datos!J14),Datos!K14/Datos!J14," - ")</f>
        <v>0.95573589081519739</v>
      </c>
      <c r="BH14" s="1202">
        <f>IF(ISNUMBER(((Datos!L14/Datos!K14)*11)/factor_trimestre),((Datos!L14/Datos!K14)*11)/factor_trimestre," - ")</f>
        <v>6.1721343110768041</v>
      </c>
      <c r="BI14" s="1198">
        <f>IF(ISNUMBER('Resol  Asuntos'!D14/NºAsuntos!G14),'Resol  Asuntos'!D14/NºAsuntos!G14," - ")</f>
        <v>0.38422575976845152</v>
      </c>
      <c r="BJ14" s="1198" t="str">
        <f>IF(ISNUMBER(Datos!CI14/Datos!CJ14),Datos!CI14/Datos!CJ14," - ")</f>
        <v xml:space="preserve"> - </v>
      </c>
      <c r="BK14" s="1198">
        <f>SUBTOTAL(9,BK8:BK13)</f>
        <v>0</v>
      </c>
      <c r="BL14" s="1198">
        <f>IF(ISNUMBER((I14-AB14+L14)/(F14)),(I14-AB14+L14)/(F14)," - ")</f>
        <v>-0.52</v>
      </c>
      <c r="BM14" s="1203">
        <f>SUBTOTAL(9,BM9:BM13)</f>
        <v>-5.0711933980416471E-2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1680</v>
      </c>
      <c r="G16" s="743">
        <f>IF(ISNUMBER(IF(D_I="SI",Datos!I16,Datos!I16+Datos!AC16)),IF(D_I="SI",Datos!I16,Datos!I16+Datos!AC16)," - ")</f>
        <v>1625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2810</v>
      </c>
      <c r="AC16" s="240">
        <f>IF(ISNUMBER(Datos!Q16),Datos!Q16," - ")</f>
        <v>166</v>
      </c>
      <c r="AD16" s="374"/>
      <c r="AE16" s="562"/>
      <c r="AF16" s="741">
        <f>IF(ISNUMBER(IF(D_I="SI",Datos!L16,Datos!L16+Datos!AF16)),IF(D_I="SI",Datos!L16,Datos!L16+Datos!AF16)," - ")</f>
        <v>1827</v>
      </c>
      <c r="AG16" s="374"/>
      <c r="AH16" s="374"/>
      <c r="AI16" s="374"/>
      <c r="AJ16" s="549"/>
      <c r="AK16" s="374"/>
      <c r="AL16" s="545"/>
      <c r="AM16" s="375">
        <f>IF(ISNUMBER(Datos!R16),Datos!R16," - ")</f>
        <v>412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386</v>
      </c>
      <c r="BD16" s="243">
        <f>IF(ISNUMBER(Datos!N16),Datos!N16," - ")</f>
        <v>1909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0.95028745350016908</v>
      </c>
      <c r="BH16" s="764">
        <f>IF(ISNUMBER(((IF(D_I="SI",Datos!L16/Datos!K16,(Datos!L16+Datos!AF16)/(Datos!K16+Datos!AE16)))*11)/factor_trimestre),((IF(D_I="SI",Datos!L16/Datos!K16,(Datos!L16+Datos!AF16)/(Datos!K16+Datos!AE16)))*11)/factor_trimestre," - ")</f>
        <v>1.300355871886121</v>
      </c>
      <c r="BI16" s="266">
        <f>IF(ISNUMBER('Resol  Asuntos'!D16/NºAsuntos!G16),'Resol  Asuntos'!D16/NºAsuntos!G16," - ")</f>
        <v>0.13736654804270462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175</v>
      </c>
      <c r="AC18" s="547">
        <f>IF(ISNUMBER(Datos!Q18),Datos!Q18," - ")</f>
        <v>5</v>
      </c>
      <c r="AD18" s="549"/>
      <c r="AE18" s="562"/>
      <c r="AF18" s="551">
        <f>IF(ISNUMBER(Datos!L18),Datos!L18,"-")</f>
        <v>60</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51</v>
      </c>
      <c r="BD18" s="693">
        <f>IF(ISNUMBER(Datos!N18),Datos!N18," - ")</f>
        <v>97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0.68571428571428572</v>
      </c>
      <c r="BI18" s="763">
        <f>IF(ISNUMBER('Resol  Asuntos'!D18/NºAsuntos!G18),'Resol  Asuntos'!D18/NºAsuntos!G18," - ")</f>
        <v>0.29142857142857143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1690</v>
      </c>
      <c r="G23" s="1197">
        <f>SUBTOTAL(9,G16:G22)</f>
        <v>1690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2985</v>
      </c>
      <c r="AC23" s="1198">
        <f t="shared" si="5"/>
        <v>171</v>
      </c>
      <c r="AD23" s="1198">
        <f t="shared" si="5"/>
        <v>0</v>
      </c>
      <c r="AE23" s="1198">
        <f t="shared" si="5"/>
        <v>0</v>
      </c>
      <c r="AF23" s="1198">
        <f t="shared" si="5"/>
        <v>1897</v>
      </c>
      <c r="AG23" s="1198">
        <f t="shared" si="5"/>
        <v>0</v>
      </c>
      <c r="AH23" s="1198">
        <f t="shared" si="5"/>
        <v>0</v>
      </c>
      <c r="AI23" s="1198">
        <f t="shared" si="5"/>
        <v>0</v>
      </c>
      <c r="AJ23" s="1198">
        <f t="shared" si="5"/>
        <v>0</v>
      </c>
      <c r="AK23" s="1198">
        <f t="shared" si="5"/>
        <v>0</v>
      </c>
      <c r="AL23" s="1198">
        <f t="shared" si="5"/>
        <v>0</v>
      </c>
      <c r="AM23" s="1198">
        <f t="shared" si="5"/>
        <v>429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437</v>
      </c>
      <c r="BD23" s="1198">
        <f t="shared" si="5"/>
        <v>2006</v>
      </c>
      <c r="BE23" s="1198">
        <f t="shared" si="5"/>
        <v>0</v>
      </c>
      <c r="BF23" s="1198">
        <f t="shared" si="5"/>
        <v>0</v>
      </c>
      <c r="BG23" s="1198">
        <f>IF(ISNUMBER(Datos!K23/Datos!J23),Datos!K23/Datos!J23," - ")</f>
        <v>0.95306513409961691</v>
      </c>
      <c r="BH23" s="1202">
        <f>IF(ISNUMBER(((Datos!L23/Datos!K23)*11)/factor_trimestre),((Datos!L23/Datos!K23)*11)/factor_trimestre," - ")</f>
        <v>1.2710217755443887</v>
      </c>
      <c r="BI23" s="1198">
        <f>SUBTOTAL(9,BI16:BI22)</f>
        <v>0.42879511947127602</v>
      </c>
      <c r="BJ23" s="1198">
        <f>SUBTOTAL(9,BJ16:BJ22)</f>
        <v>0</v>
      </c>
      <c r="BK23" s="1198">
        <f>SUBTOTAL(9,BK16:BK22)</f>
        <v>0</v>
      </c>
      <c r="BL23" s="1198">
        <f>IF(ISNUMBER((I23-AB23+L23)/(F23)),(I23-AB23+L23)/(F23)," - ")</f>
        <v>-1.7662721893491125</v>
      </c>
      <c r="BM23" s="1205">
        <f>IF(ISNUMBER((Datos!P23-Datos!Q23)/(Datos!R23-Datos!P23+Datos!Q23)),(Datos!P23-Datos!Q23)/(Datos!R23-Datos!P23+Datos!Q23)," - ")</f>
        <v>-0.14028056112224449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1740</v>
      </c>
      <c r="G31" s="1117">
        <f t="shared" si="18"/>
        <v>1740</v>
      </c>
      <c r="H31" s="1119">
        <f t="shared" si="18"/>
        <v>0</v>
      </c>
      <c r="I31" s="1117">
        <f t="shared" si="18"/>
        <v>0</v>
      </c>
      <c r="J31" s="1119">
        <f t="shared" si="18"/>
        <v>0</v>
      </c>
      <c r="K31" s="1119">
        <f t="shared" si="18"/>
        <v>0</v>
      </c>
      <c r="L31" s="1180">
        <f t="shared" si="18"/>
        <v>0</v>
      </c>
      <c r="M31" s="1180">
        <f t="shared" si="18"/>
        <v>0</v>
      </c>
      <c r="N31" s="1180">
        <f t="shared" si="18"/>
        <v>170</v>
      </c>
      <c r="O31" s="1180">
        <f t="shared" si="18"/>
        <v>0</v>
      </c>
      <c r="P31" s="1180">
        <f t="shared" si="18"/>
        <v>0</v>
      </c>
      <c r="Q31" s="1119">
        <f t="shared" si="18"/>
        <v>852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3011</v>
      </c>
      <c r="AC31" s="1118">
        <f t="shared" si="19"/>
        <v>966</v>
      </c>
      <c r="AD31" s="1118">
        <f t="shared" si="19"/>
        <v>0</v>
      </c>
      <c r="AE31" s="1118">
        <f t="shared" si="19"/>
        <v>0</v>
      </c>
      <c r="AF31" s="1125">
        <f t="shared" si="19"/>
        <v>1934</v>
      </c>
      <c r="AG31" s="1125">
        <f t="shared" si="19"/>
        <v>0</v>
      </c>
      <c r="AH31" s="1125">
        <f t="shared" si="19"/>
        <v>115</v>
      </c>
      <c r="AI31" s="1125">
        <f t="shared" si="19"/>
        <v>0</v>
      </c>
      <c r="AJ31" s="1118">
        <f t="shared" si="19"/>
        <v>0</v>
      </c>
      <c r="AK31" s="1125">
        <f t="shared" si="19"/>
        <v>0</v>
      </c>
      <c r="AL31" s="1125">
        <f t="shared" si="19"/>
        <v>0</v>
      </c>
      <c r="AM31" s="1125">
        <f t="shared" si="19"/>
        <v>9445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1499</v>
      </c>
      <c r="BD31" s="1117">
        <f t="shared" si="19"/>
        <v>2893</v>
      </c>
      <c r="BE31" s="1117">
        <f t="shared" si="19"/>
        <v>0</v>
      </c>
      <c r="BF31" s="1127">
        <f t="shared" si="19"/>
        <v>0</v>
      </c>
      <c r="BG31" s="1223">
        <f>IF(ISNUMBER(Datos!K31/Datos!J31),Datos!K31/Datos!J31," - ")</f>
        <v>0.95430429573849052</v>
      </c>
      <c r="BH31" s="1223">
        <f>IF(ISNUMBER(((Datos!L31/Datos!K31)*11)/factor_trimestre),((Datos!L31/Datos!K31)*11)/factor_trimestre," - ")</f>
        <v>3.5484218077474892</v>
      </c>
      <c r="BI31" s="1103">
        <f>IF(ISNUMBER(Datos!J31/Datos!I31),Datos!J31/Datos!I31," - ")</f>
        <v>0.61080911561781304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-1.7304597701149425</v>
      </c>
      <c r="BM31" s="1188">
        <f>IF(ISNUMBER((Datos!P31-Datos!Q31+R31)/(Datos!R31-Datos!P31+Datos!Q31-R31)),(Datos!P31-Datos!Q31+R31)/(Datos!R31-Datos!P31+Datos!Q31-R31)," - ")</f>
        <v>-1.1925933675070614E-2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2.4097754135727354</v>
      </c>
      <c r="F33" s="673">
        <f>IF(ISNUMBER(STDEV(F8:F30)),STDEV(F8:F30),"-")</f>
        <v>811.74122078640903</v>
      </c>
      <c r="G33" s="674">
        <f>IF(ISNUMBER(STDEV(G8:G30)),STDEV(G8:G30),"-")</f>
        <v>755.08277691919318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1325.8550610293505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441.58137541240473</v>
      </c>
      <c r="BD33" s="673"/>
      <c r="BE33" s="673">
        <f>IF(ISNUMBER(STDEV(BE8:BE30)),STDEV(BE8:BE30),"-")</f>
        <v>0</v>
      </c>
      <c r="BF33" s="678">
        <f>IF(ISNUMBER(STDEV(BF8:BF30)),STDEV(BF8:BF30),"-")</f>
        <v>0</v>
      </c>
      <c r="BG33" s="1052">
        <f>IF(ISNUMBER(STDEV(BG8:BG30)),STDEV(BG8:BG30),"-")</f>
        <v>0.42386799430654698</v>
      </c>
      <c r="BH33" s="1058">
        <f>IF(ISNUMBER(STDEV(BH8:BH30)),STDEV(BH8:BH30),"-")</f>
        <v>2.4377061172896215</v>
      </c>
      <c r="BI33" s="273">
        <f>IF(ISNUMBER(STDEV(BI8:BI30)),STDEV(BI8:BI30),"-")</f>
        <v>0.12879974903500982</v>
      </c>
      <c r="BJ33" s="244" t="str">
        <f>IF(ISNUMBER(BL33/BM33),BL33/BM33," - ")</f>
        <v xml:space="preserve"> - </v>
      </c>
      <c r="BK33" s="709"/>
      <c r="BL33" s="681">
        <f>IF(ISNUMBER(STDEV(BL8:BL30)),STDEV(BL8:BL30),"-")</f>
        <v>0.88124751629296205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dF5CsHNOWk97mQtXX/+klKNfXI6aSq54eNYKPowgcyreGVUy3nGggYX6PK3IRne9IX3glH/g37OXY7Xx06CuA==" saltValue="lEm6rMazGVZ5797W/2zi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CRISTOBAL DE LA 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751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792</v>
      </c>
      <c r="AA9" s="551" t="str">
        <f>IF(ISNUMBER(IF(J_V="SI",Datos!L9,Datos!L9+Datos!AB9)-IF(Monitorios="SI",Datos!CD9,0)),
                          IF(J_V="SI",Datos!L9,Datos!L9+Datos!AB9)-IF(Monitorios="SI",Datos!CD9,0),
                          " - ")</f>
        <v xml:space="preserve"> - </v>
      </c>
      <c r="AB9" s="549"/>
      <c r="AC9" s="549"/>
      <c r="AD9" s="563"/>
      <c r="AE9" s="563">
        <f>IF(ISNUMBER(Datos!R9),Datos!R9," - ")</f>
        <v>8954</v>
      </c>
      <c r="AF9" s="693" t="str">
        <f>IF(ISNUMBER(Datos!BV9),Datos!BV9," - ")</f>
        <v xml:space="preserve"> - </v>
      </c>
      <c r="AG9" s="552" t="str">
        <f>IF(ISNUMBER(Datos!DV9),Datos!DV9," - ")</f>
        <v xml:space="preserve"> - </v>
      </c>
      <c r="AH9" s="553"/>
      <c r="AI9" s="554"/>
      <c r="AJ9" s="552">
        <f>IF(ISNUMBER(Datos!M9),Datos!M9," - ")</f>
        <v>1043</v>
      </c>
      <c r="AK9" s="693">
        <f>IF(ISNUMBER(Datos!N9),Datos!N9," - ")</f>
        <v>881</v>
      </c>
      <c r="AL9" s="693" t="str">
        <f>IF(ISNUMBER(Datos!BW9),Datos!BW9," - ")</f>
        <v xml:space="preserve"> - </v>
      </c>
      <c r="AM9" s="762" t="str">
        <f>IF(ISNUMBER(Datos!BX9),Datos!BX9," - ")</f>
        <v xml:space="preserve"> - </v>
      </c>
      <c r="AN9" s="763"/>
      <c r="AO9" s="764">
        <f>IF(ISNUMBER(((NºAsuntos!I9/NºAsuntos!G9)*11)/factor_trimestre),((NºAsuntos!I9/NºAsuntos!G9)*11)/factor_trimestre," - ")</f>
        <v>5.89773557341125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-4.5580878265703171E-3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3</v>
      </c>
      <c r="AA10" s="551">
        <f>IF(ISNUMBER(Datos!L10),Datos!L10,"-")</f>
        <v>37</v>
      </c>
      <c r="AB10" s="549"/>
      <c r="AC10" s="549"/>
      <c r="AD10" s="563"/>
      <c r="AE10" s="563">
        <f>IF(ISNUMBER(Datos!R10),Datos!R10," - ")</f>
        <v>62</v>
      </c>
      <c r="AF10" s="693" t="str">
        <f>IF(ISNUMBER(Datos!BV10),Datos!BV10," - ")</f>
        <v xml:space="preserve"> - </v>
      </c>
      <c r="AG10" s="552" t="str">
        <f>IF(ISNUMBER(Datos!DV10),Datos!DV10," - ")</f>
        <v xml:space="preserve"> - </v>
      </c>
      <c r="AH10" s="553"/>
      <c r="AI10" s="554"/>
      <c r="AJ10" s="552">
        <f>IF(ISNUMBER(Datos!M10),Datos!M10," - ")</f>
        <v>19</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2.8461538461538463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-4.6153846153846156E-2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751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795</v>
      </c>
      <c r="AA14" s="1199">
        <f t="shared" si="3"/>
        <v>37</v>
      </c>
      <c r="AB14" s="1199">
        <f t="shared" si="3"/>
        <v>0</v>
      </c>
      <c r="AC14" s="1199">
        <f t="shared" si="3"/>
        <v>0</v>
      </c>
      <c r="AD14" s="1199">
        <f t="shared" si="3"/>
        <v>0</v>
      </c>
      <c r="AE14" s="1199">
        <f t="shared" si="3"/>
        <v>9016</v>
      </c>
      <c r="AF14" s="1211">
        <f t="shared" si="3"/>
        <v>0</v>
      </c>
      <c r="AG14" s="1211">
        <f t="shared" si="3"/>
        <v>0</v>
      </c>
      <c r="AH14" s="1211">
        <f t="shared" si="3"/>
        <v>0</v>
      </c>
      <c r="AI14" s="1211">
        <f t="shared" si="3"/>
        <v>0</v>
      </c>
      <c r="AJ14" s="1211">
        <f t="shared" si="3"/>
        <v>1062</v>
      </c>
      <c r="AK14" s="1211">
        <f t="shared" si="3"/>
        <v>887</v>
      </c>
      <c r="AL14" s="1211">
        <f t="shared" si="3"/>
        <v>0</v>
      </c>
      <c r="AM14" s="1211">
        <f t="shared" si="3"/>
        <v>0</v>
      </c>
      <c r="AN14" s="1211">
        <f t="shared" si="3"/>
        <v>0</v>
      </c>
      <c r="AO14" s="1203">
        <f>IF(ISNUMBER(((NºAsuntos!I14/NºAsuntos!G14)*11)/factor_trimestre),((NºAsuntos!I14/NºAsuntos!G14)*11)/factor_trimestre," - ")</f>
        <v>5.869030390738061</v>
      </c>
      <c r="AP14" s="1213" t="str">
        <f>IF(ISNUMBER(Datos!CI14/Datos!CJ14),Datos!CI14/Datos!CJ14," - ")</f>
        <v xml:space="preserve"> - </v>
      </c>
      <c r="AQ14" s="1236">
        <f t="shared" ref="AQ14:AV14" si="4">SUBTOTAL(9,AQ9:AQ13)</f>
        <v>0</v>
      </c>
      <c r="AR14" s="1236">
        <f t="shared" si="4"/>
        <v>-5.0711933980416471E-2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1680</v>
      </c>
      <c r="G16" s="552">
        <f>IF(ISNUMBER(IF(D_I="SI",Datos!I16,Datos!I16+Datos!AC16)),IF(D_I="SI",Datos!I16,Datos!I16+Datos!AC16)," - ")</f>
        <v>1625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2810</v>
      </c>
      <c r="Z16" s="805">
        <f>IF(ISNUMBER(Datos!Q16),Datos!Q16," - ")</f>
        <v>166</v>
      </c>
      <c r="AA16" s="551">
        <f>IF(ISNUMBER(IF(D_I="SI",Datos!L16,Datos!L16+Datos!AF16)),IF(D_I="SI",Datos!L16,Datos!L16+Datos!AF16)," - ")</f>
        <v>1827</v>
      </c>
      <c r="AB16" s="549"/>
      <c r="AC16" s="549"/>
      <c r="AD16" s="563"/>
      <c r="AE16" s="563">
        <f>IF(ISNUMBER(Datos!R16),Datos!R16," - ")</f>
        <v>412</v>
      </c>
      <c r="AF16" s="693" t="str">
        <f>IF(ISNUMBER(Datos!BV16),Datos!BV16," - ")</f>
        <v xml:space="preserve"> - </v>
      </c>
      <c r="AG16" s="552"/>
      <c r="AH16" s="553"/>
      <c r="AI16" s="554"/>
      <c r="AJ16" s="552">
        <f>IF(ISNUMBER(Datos!M16),Datos!M16," - ")</f>
        <v>386</v>
      </c>
      <c r="AK16" s="693">
        <f>IF(ISNUMBER(Datos!N16),Datos!N16," - ")</f>
        <v>1909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1.300355871886121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175</v>
      </c>
      <c r="Z18" s="805">
        <f>IF(ISNUMBER(Datos!Q18),Datos!Q18," - ")</f>
        <v>5</v>
      </c>
      <c r="AA18" s="551">
        <f>IF(ISNUMBER(Datos!L18),Datos!L18,"-")</f>
        <v>60</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51</v>
      </c>
      <c r="AK18" s="693">
        <f>IF(ISNUMBER(Datos!N18),Datos!N18," - ")</f>
        <v>97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0.68571428571428572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1690</v>
      </c>
      <c r="G23" s="1197">
        <f>SUBTOTAL(9,G16:G22)</f>
        <v>1690</v>
      </c>
      <c r="H23" s="1240">
        <f>SUBTOTAL(9,H16:H22)</f>
        <v>0</v>
      </c>
      <c r="I23" s="1217">
        <f>SUBTOTAL(9,I16:I22)</f>
        <v>0</v>
      </c>
      <c r="J23" s="1164">
        <f>SUBTOTAL(9,J15:J22)</f>
        <v>0</v>
      </c>
      <c r="K23" s="1240">
        <f t="shared" ref="K23:S23" si="5">SUBTOTAL(9,K16:K22)</f>
        <v>0</v>
      </c>
      <c r="L23" s="1240">
        <f t="shared" si="5"/>
        <v>0</v>
      </c>
      <c r="M23" s="1240">
        <f t="shared" si="5"/>
        <v>0</v>
      </c>
      <c r="N23" s="1240">
        <f t="shared" si="5"/>
        <v>101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2985</v>
      </c>
      <c r="Z23" s="1240">
        <f t="shared" si="6"/>
        <v>171</v>
      </c>
      <c r="AA23" s="1240">
        <f t="shared" si="6"/>
        <v>1897</v>
      </c>
      <c r="AB23" s="1240">
        <f t="shared" si="6"/>
        <v>0</v>
      </c>
      <c r="AC23" s="1240">
        <f t="shared" si="6"/>
        <v>0</v>
      </c>
      <c r="AD23" s="1240">
        <f t="shared" si="6"/>
        <v>0</v>
      </c>
      <c r="AE23" s="1240">
        <f t="shared" si="6"/>
        <v>429</v>
      </c>
      <c r="AF23" s="1240">
        <f t="shared" si="6"/>
        <v>0</v>
      </c>
      <c r="AG23" s="1240">
        <f t="shared" si="6"/>
        <v>0</v>
      </c>
      <c r="AH23" s="1240">
        <f t="shared" si="6"/>
        <v>0</v>
      </c>
      <c r="AI23" s="1240">
        <f t="shared" si="6"/>
        <v>0</v>
      </c>
      <c r="AJ23" s="1240">
        <f t="shared" si="6"/>
        <v>437</v>
      </c>
      <c r="AK23" s="1240">
        <f t="shared" si="6"/>
        <v>2006</v>
      </c>
      <c r="AL23" s="1240">
        <f t="shared" si="6"/>
        <v>0</v>
      </c>
      <c r="AM23" s="1240">
        <f t="shared" si="6"/>
        <v>0</v>
      </c>
      <c r="AN23" s="1240">
        <f t="shared" si="6"/>
        <v>0</v>
      </c>
      <c r="AO23" s="1242">
        <f>IF(ISNUMBER(((NºAsuntos!I23/NºAsuntos!G23)*11)/factor_trimestre),((NºAsuntos!I23/NºAsuntos!G23)*11)/factor_trimestre," - ")</f>
        <v>1.2710217755443887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1740</v>
      </c>
      <c r="G31" s="1117">
        <f t="shared" si="12"/>
        <v>1740</v>
      </c>
      <c r="H31" s="1118">
        <f t="shared" si="12"/>
        <v>0</v>
      </c>
      <c r="I31" s="1117">
        <f t="shared" si="12"/>
        <v>0</v>
      </c>
      <c r="J31" s="1119">
        <f t="shared" si="12"/>
        <v>0</v>
      </c>
      <c r="K31" s="1117">
        <f t="shared" si="12"/>
        <v>0</v>
      </c>
      <c r="L31" s="1120">
        <f t="shared" si="12"/>
        <v>0</v>
      </c>
      <c r="M31" s="1117">
        <f t="shared" si="12"/>
        <v>0</v>
      </c>
      <c r="N31" s="1118">
        <f t="shared" si="12"/>
        <v>852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3011</v>
      </c>
      <c r="Z31" s="1124">
        <f t="shared" si="13"/>
        <v>966</v>
      </c>
      <c r="AA31" s="1125">
        <f t="shared" si="13"/>
        <v>1934</v>
      </c>
      <c r="AB31" s="1125">
        <f t="shared" si="13"/>
        <v>0</v>
      </c>
      <c r="AC31" s="1125">
        <f t="shared" si="13"/>
        <v>0</v>
      </c>
      <c r="AD31" s="1126">
        <f t="shared" si="13"/>
        <v>0</v>
      </c>
      <c r="AE31" s="1126">
        <f t="shared" si="13"/>
        <v>9445</v>
      </c>
      <c r="AF31" s="1127">
        <f t="shared" si="13"/>
        <v>0</v>
      </c>
      <c r="AG31" s="1128">
        <f t="shared" si="13"/>
        <v>0</v>
      </c>
      <c r="AH31" s="1129">
        <f t="shared" si="13"/>
        <v>0</v>
      </c>
      <c r="AI31" s="1127">
        <f t="shared" si="13"/>
        <v>0</v>
      </c>
      <c r="AJ31" s="1117">
        <f t="shared" si="13"/>
        <v>1499</v>
      </c>
      <c r="AK31" s="1117">
        <f t="shared" si="13"/>
        <v>2893</v>
      </c>
      <c r="AL31" s="1117">
        <f t="shared" si="13"/>
        <v>0</v>
      </c>
      <c r="AM31" s="1130">
        <f t="shared" si="13"/>
        <v>0</v>
      </c>
      <c r="AN31" s="1120">
        <f>IF(ISNUMBER(Datos!K31/Datos!J31),Datos!K31/Datos!J31," - ")</f>
        <v>0.95430429573849052</v>
      </c>
      <c r="AO31" s="1120">
        <f>IF(ISNUMBER(FIND("06",Criterios!A8,1)),(IF(ISNUMBER(((Datos!R31/Datos!Q31)*11)/factor_trimestre),((Datos!R31/Datos!Q31)*11)/factor_trimestre," - ")),(IF(ISNUMBER(((Datos!L31/Datos!K31)*11)/factor_trimestre),((Datos!L31/Datos!K31)*11)/factor_trimestre," - ")))</f>
        <v>3.5484218077474892</v>
      </c>
      <c r="AP31" s="1131" t="str">
        <f>IF(ISNUMBER(Datos!CI31/Datos!CJ31),Datos!CI31/Datos!CJ31," - ")</f>
        <v xml:space="preserve"> - </v>
      </c>
      <c r="AQ31" s="1131">
        <f>IF(OR(ISNUMBER(FIND("01",Criterios!A8,1)),ISNUMBER(FIND("02",Criterios!A8,1)),ISNUMBER(FIND("03",Criterios!A8,1)),ISNUMBER(FIND("04",Criterios!A8,1))),(J31-Y31+K31)/(F31-K31),(I31-Y31+K31)/(F31-K31))</f>
        <v>-1.7304597701149425</v>
      </c>
      <c r="AR31" s="1131">
        <f>IF(ISNUMBER((Datos!P31-Datos!Q31+O31)/(Datos!R31-Datos!P31+Datos!Q31-O31)),(Datos!P31-Datos!Q31+O31)/(Datos!R31-Datos!P31+Datos!Q31-O31)," - ")</f>
        <v>-1.1925933675070614E-2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811.74122078640903</v>
      </c>
      <c r="G33" s="674">
        <f>IF(ISNUMBER(STDEV(G8:G30)),STDEV(G8:G30),"-")</f>
        <v>755.08277691919318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441.58137541240473</v>
      </c>
      <c r="AK33" s="276"/>
      <c r="AL33" s="276">
        <f>IF(ISNUMBER(STDEV(AL8:AL30)),STDEV(AL8:AL30),"-")</f>
        <v>0</v>
      </c>
      <c r="AM33" s="278">
        <f>IF(ISNUMBER(STDEV(AM8:AM30)),STDEV(AM8:AM30),"-")</f>
        <v>0</v>
      </c>
      <c r="AN33" s="660">
        <f>IF(ISNUMBER(STDEV(AN8:AN30)),STDEV(AN8:AN30),"-")</f>
        <v>0</v>
      </c>
      <c r="AO33" s="661">
        <f>IF(ISNUMBER(STDEV(AO8:AO30)),STDEV(AO8:AO30),"-")</f>
        <v>2.3614882404051301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5b5CBypUX2Zvi+ViiDeV86gnuMj8PDN6+ENEet2pLEiM+VmxtKIA6U9aLOXwwtSbdviRufmiGcZxqLUQvpFuA==" saltValue="Jlg8lXODkF6vzFkNwOt39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YjEo1G7gtK4rNQ2+nYgSidnaZz5s9UD3sBqFh8s0qLl/3z+1ptYIG501siDmQ7PcNEK7NzimW7GKzcXAU7jTA==" saltValue="ZBYhqkUQczF609g2eVR3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7DTOMto35MCo5eNMiAy371T4LYS99UDvfTa/8qNZ/XjskgqEzqNCPssXOgjPCbL9ml983ETEopY0ghu+3NLCw==" saltValue="GoIpOTr5wqdsKnhm0Pc2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0.38422575976845152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0.27168864023882544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zfmlvGzS7uWwETAaRTPndy6LmVocS72sX9kpmIRnROCwbUbpnFfA68MxFsF+ahQ4C+oUCLqkAJ3VqUWcXxCA==" saltValue="Iwtv25yScxL58g3rbhfd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Rz/ZLZikKP9LxgLfzEX942Ri/IMyHAAWHcwnX5B2KJjtmpckP8DTIBVTLBc2cIEyoxEA3PoMDWEo1BiHFO5NWg==" saltValue="qcQz6swWuevi2uhCsZXb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CRISTOBAL DE LA LAGUNA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7944</v>
      </c>
      <c r="D9" s="452">
        <f>IF(ISNUMBER(C9/Datos!BH9),C9/Datos!BH9," - ")</f>
        <v>1134.8571428571429</v>
      </c>
      <c r="E9" s="451">
        <f>IF(ISNUMBER(IF(J_V="SI",Datos!J9,Datos!J9+Datos!Z9)),IF(J_V="SI",Datos!J9,Datos!J9+Datos!Z9)," - ")</f>
        <v>2868</v>
      </c>
      <c r="F9" s="452">
        <f>IF(ISNUMBER(E9/B9),E9/B9," - ")</f>
        <v>409.71428571428572</v>
      </c>
      <c r="G9" s="451">
        <f>IF(ISNUMBER(IF(J_V="SI",Datos!K9,Datos!K9+Datos!AA9)),IF(J_V="SI",Datos!K9,Datos!K9+Datos!AA9)," - ")</f>
        <v>2738</v>
      </c>
      <c r="H9" s="452">
        <f>IF(ISNUMBER(G9/B9),G9/B9," - ")</f>
        <v>391.14285714285717</v>
      </c>
      <c r="I9" s="451">
        <f>IF(ISNUMBER(IF(J_V="SI",Datos!L9,Datos!L9+Datos!AB9)),IF(J_V="SI",Datos!L9,Datos!L9+Datos!AB9)," - ")</f>
        <v>8074</v>
      </c>
      <c r="J9" s="452">
        <f>IF(ISNUMBER(I9/B9),I9/B9," - ")</f>
        <v>1153.4285714285713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50</v>
      </c>
      <c r="D10" s="452">
        <f>IF(ISNUMBER(C10/Datos!BH10),C10/Datos!BH10," - ")</f>
        <v>50</v>
      </c>
      <c r="E10" s="451">
        <f>IF(ISNUMBER(Datos!J10),Datos!J10," - ")</f>
        <v>13</v>
      </c>
      <c r="F10" s="452">
        <f>IF(ISNUMBER(E10/B10),E10/B10," - ")</f>
        <v>13</v>
      </c>
      <c r="G10" s="451">
        <f>IF(ISNUMBER(Datos!K10),Datos!K10," - ")</f>
        <v>26</v>
      </c>
      <c r="H10" s="452">
        <f>IF(ISNUMBER(G10/B10),G10/B10," - ")</f>
        <v>26</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7994</v>
      </c>
      <c r="D14" s="1147" t="str">
        <f>IF(ISNUMBER(C14/Datos!BI14),C14/Datos!BI14," - ")</f>
        <v xml:space="preserve"> - </v>
      </c>
      <c r="E14" s="1146">
        <f>SUBTOTAL(9,E8:E13)</f>
        <v>2881</v>
      </c>
      <c r="F14" s="1147">
        <f>IF(ISNUMBER(E14/B14),E14/B14," - ")</f>
        <v>411.57142857142856</v>
      </c>
      <c r="G14" s="1146">
        <f>SUBTOTAL(9,G8:G13)</f>
        <v>2764</v>
      </c>
      <c r="H14" s="1147">
        <f>IF(ISNUMBER(G14/B14),G14/B14," - ")</f>
        <v>394.85714285714283</v>
      </c>
      <c r="I14" s="1146">
        <f>SUBTOTAL(9,I8:I13)</f>
        <v>8111</v>
      </c>
      <c r="J14" s="1147">
        <f>IF(ISNUMBER(I14/B14),I14/B14," - ")</f>
        <v>1158.7142857142858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1625</v>
      </c>
      <c r="D16" s="452">
        <f>IF(ISNUMBER(C16/Datos!BH16),C16/Datos!BH16," - ")</f>
        <v>406.25</v>
      </c>
      <c r="E16" s="451">
        <f>IF(ISNUMBER(IF(D_I="SI",Datos!J16,Datos!J16+Datos!AD16)),IF(D_I="SI",Datos!J16,Datos!J16+Datos!AD16)," - ")</f>
        <v>2957</v>
      </c>
      <c r="F16" s="452">
        <f>IF(ISNUMBER(E16/B16),E16/B16," - ")</f>
        <v>739.25</v>
      </c>
      <c r="G16" s="451">
        <f>IF(ISNUMBER(IF(D_I="SI",Datos!K16,Datos!K16+Datos!AE16)),IF(D_I="SI",Datos!K16,Datos!K16+Datos!AE16)," - ")</f>
        <v>2810</v>
      </c>
      <c r="H16" s="452">
        <f>IF(ISNUMBER(G16/B16),G16/B16," - ")</f>
        <v>702.5</v>
      </c>
      <c r="I16" s="451">
        <f>IF(ISNUMBER(IF(D_I="SI",Datos!L16,Datos!L16+Datos!AF16)),IF(D_I="SI",Datos!L16,Datos!L16+Datos!AF16)," - ")</f>
        <v>1827</v>
      </c>
      <c r="J16" s="452">
        <f>IF(ISNUMBER(I16/B16),I16/B16," - ")</f>
        <v>456.75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175</v>
      </c>
      <c r="F18" s="452">
        <f>IF(ISNUMBER(E18/B18),E18/B18," - ")</f>
        <v>175</v>
      </c>
      <c r="G18" s="451">
        <f>IF(ISNUMBER(IF(D_I="SI",Datos!K18,Datos!K18+Datos!AE18)),IF(D_I="SI",Datos!K18,Datos!K18+Datos!AE18)," - ")</f>
        <v>175</v>
      </c>
      <c r="H18" s="452">
        <f>IF(ISNUMBER(G18/B18),G18/B18," - ")</f>
        <v>175</v>
      </c>
      <c r="I18" s="451">
        <f>IF(ISNUMBER(IF(D_I="SI",Datos!L18,Datos!L18+Datos!AF18)),IF(D_I="SI",Datos!L18,Datos!L18+Datos!AF18)," - ")</f>
        <v>60</v>
      </c>
      <c r="J18" s="452">
        <f>IF(ISNUMBER(I18/B18),I18/B18," - ")</f>
        <v>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1690</v>
      </c>
      <c r="D23" s="1147" t="str">
        <f>IF(ISNUMBER(C23/Datos!BI23),C23/Datos!BI23," - ")</f>
        <v xml:space="preserve"> - </v>
      </c>
      <c r="E23" s="1146">
        <f>SUBTOTAL(9,E15:E22)</f>
        <v>3132</v>
      </c>
      <c r="F23" s="1147">
        <f>IF(ISNUMBER(E23/B23),E23/B23," - ")</f>
        <v>783</v>
      </c>
      <c r="G23" s="1146">
        <f>SUBTOTAL(9,G15:G22)</f>
        <v>2985</v>
      </c>
      <c r="H23" s="1147">
        <f>IF(ISNUMBER(G23/B23),G23/B23," - ")</f>
        <v>746.25</v>
      </c>
      <c r="I23" s="1146">
        <f>SUBTOTAL(9,I15:I22)</f>
        <v>1897</v>
      </c>
      <c r="J23" s="1147">
        <f>IF(ISNUMBER(I23/B23),I23/B23," - ")</f>
        <v>474.25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9684</v>
      </c>
      <c r="D31" s="1085" t="str">
        <f>IF(ISNUMBER(C31/Datos!BI31),C31/Datos!BI31," - ")</f>
        <v xml:space="preserve"> - </v>
      </c>
      <c r="E31" s="1084">
        <f>SUBTOTAL(9,E9:E30)</f>
        <v>6013</v>
      </c>
      <c r="F31" s="1085">
        <f>IF(ISNUMBER(E31/B31),E31/B31," - ")</f>
        <v>546.63636363636363</v>
      </c>
      <c r="G31" s="1084">
        <f>SUBTOTAL(9,G9:G30)</f>
        <v>5749</v>
      </c>
      <c r="H31" s="1085">
        <f>IF(ISNUMBER(G31/B31),G31/B31," - ")</f>
        <v>522.63636363636363</v>
      </c>
      <c r="I31" s="1084">
        <f>SUBTOTAL(9,I9:I30)</f>
        <v>10008</v>
      </c>
      <c r="J31" s="1085">
        <f>IF(ISNUMBER(I31/B31),I31/B31," - ")</f>
        <v>909.81818181818187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R56U7+v+K9M3aQEN+VK7nXTMFce8kjR/2HaZ+AT6doAGTENqRPGxX1LLSU2bPADWomxC3bw98X4eED5RO5z+Q==" saltValue="HBCJTP6dh7yDKltxU6Nu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2.8461538461538463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37</v>
      </c>
      <c r="AG14" s="1257">
        <f t="shared" si="1"/>
        <v>0</v>
      </c>
      <c r="AH14" s="1257">
        <f t="shared" si="1"/>
        <v>0</v>
      </c>
      <c r="AI14" s="1257">
        <f t="shared" si="1"/>
        <v>0</v>
      </c>
      <c r="AJ14" s="1257">
        <f t="shared" si="1"/>
        <v>0</v>
      </c>
      <c r="AK14" s="1257">
        <f t="shared" si="1"/>
        <v>0</v>
      </c>
      <c r="AL14" s="1257">
        <f t="shared" si="1"/>
        <v>19</v>
      </c>
      <c r="AM14" s="1257">
        <f t="shared" si="1"/>
        <v>6</v>
      </c>
      <c r="AN14" s="1257">
        <f t="shared" si="1"/>
        <v>0</v>
      </c>
      <c r="AO14" s="1257">
        <f t="shared" si="1"/>
        <v>0</v>
      </c>
      <c r="AP14" s="1262">
        <f>IF(ISNUMBER(((Datos!L14/Datos!K14)*11)/factor_trimestre),((Datos!L14/Datos!K14)*11)/factor_trimestre," - ")</f>
        <v>6.1721343110768041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1.2710217755443887</v>
      </c>
      <c r="AQ23" s="1262">
        <f>IF(ISNUMBER(((Datos!M23/Datos!L23)*11)/factor_trimestre),((Datos!M23/Datos!L23)*11)/factor_trimestre," - ")</f>
        <v>0.46072746441750129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-0.14028056112224449</v>
      </c>
      <c r="AW23" s="1265">
        <f>IF(ISNUMBER((Datos!Q23-Datos!R23)/(Datos!S23-Datos!Q23+Datos!R23)),(Datos!Q23-Datos!R23)/(Datos!S23-Datos!Q23+Datos!R23)," - ")</f>
        <v>-0.16084788029925187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37</v>
      </c>
      <c r="AG31" s="1285">
        <f t="shared" si="9"/>
        <v>0</v>
      </c>
      <c r="AH31" s="1285">
        <f t="shared" si="9"/>
        <v>0</v>
      </c>
      <c r="AI31" s="1285">
        <f t="shared" si="9"/>
        <v>0</v>
      </c>
      <c r="AJ31" s="1286">
        <f t="shared" si="9"/>
        <v>0</v>
      </c>
      <c r="AK31" s="1286">
        <f t="shared" si="9"/>
        <v>0</v>
      </c>
      <c r="AL31" s="1278">
        <f t="shared" si="9"/>
        <v>19</v>
      </c>
      <c r="AM31" s="1278">
        <f t="shared" si="9"/>
        <v>6</v>
      </c>
      <c r="AN31" s="1278">
        <f t="shared" si="9"/>
        <v>0</v>
      </c>
      <c r="AO31" s="1278">
        <f t="shared" si="9"/>
        <v>0</v>
      </c>
      <c r="AP31" s="1278">
        <f>IF(ISNUMBER(((Datos!L31/Datos!K31)*11)/factor_trimestre),((Datos!L31/Datos!K31)*11)/factor_trimestre," - ")</f>
        <v>3.5484218077474892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-1.1925933675070614E-2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10.406728592598157</v>
      </c>
      <c r="AM33" s="1006"/>
      <c r="AN33" s="1006">
        <f>IF(ISNUMBER(STDEV(AN8:AN30)),STDEV(AN8:AN30),"-")</f>
        <v>0</v>
      </c>
      <c r="AO33" s="1012">
        <f>IF(ISNUMBER(STDEV(AO8:AO30)),STDEV(AO8:AO30),"-")</f>
        <v>0</v>
      </c>
      <c r="AP33" s="1065">
        <f>IF(ISNUMBER(STDEV(AP8:AP30)),STDEV(AP8:AP30),"-")</f>
        <v>2.502135460590432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CzbvGxgEZhCFt7zHnVSTl6Krt2T4rDp83D3ulKOai7WB6gTkhyo99WfCMu+qxmWohBxwmn0Dke0BlTc0OR1Gw==" saltValue="MjLrjPunAaaF0TkW+LY3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CRISTOBAL DE LA 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TrsViCZQSB05vPJMhG6ygV/L4mG+ctbaKFhSXdRGdZFfp5uv2Ea+6mh5ydmomR7/luiocJ1lliv/4Kwqzw0jg==" saltValue="Csqlg02Bzo7DtKeIYxv/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CRISTOBAL DE LA LAGUNA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1043</v>
      </c>
      <c r="E9" s="452">
        <f t="shared" ref="E9:E14" si="0">IF(ISNUMBER(D9/B9),D9/B9," - ")</f>
        <v>149</v>
      </c>
      <c r="F9" s="451">
        <f>IF(ISNUMBER(Datos!N9),Datos!N9," - ")</f>
        <v>881</v>
      </c>
      <c r="G9" s="452">
        <f t="shared" ref="G9:G14" si="1">IF(ISNUMBER(F9/B9),F9/B9," - ")</f>
        <v>125.85714285714286</v>
      </c>
      <c r="H9" s="451">
        <f>IF(ISNUMBER(Datos!O9),Datos!O9," - ")</f>
        <v>1128</v>
      </c>
      <c r="I9" s="452">
        <f>IF(ISNUMBER(H9/B9),H9/B9," - ")</f>
        <v>161.14285714285714</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1062</v>
      </c>
      <c r="E14" s="1147">
        <f t="shared" si="0"/>
        <v>132.75</v>
      </c>
      <c r="F14" s="1146">
        <f>SUBTOTAL(9,F9:F13)</f>
        <v>887</v>
      </c>
      <c r="G14" s="1147">
        <f t="shared" si="1"/>
        <v>110.875</v>
      </c>
      <c r="H14" s="1146">
        <f>SUBTOTAL(9,H9:H13)</f>
        <v>1129</v>
      </c>
      <c r="I14" s="1147">
        <f>IF(ISNUMBER(H14/B14),H14/B14," - ")</f>
        <v>141.125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386</v>
      </c>
      <c r="E16" s="452">
        <f t="shared" ref="E16:E23" si="3">IF(ISNUMBER(D16/B16),D16/B16," - ")</f>
        <v>96.5</v>
      </c>
      <c r="F16" s="451">
        <f>IF(ISNUMBER(Datos!N16),Datos!N16," - ")</f>
        <v>1909</v>
      </c>
      <c r="G16" s="452">
        <f t="shared" ref="G16:G23" si="4">IF(ISNUMBER(F16/B16),F16/B16," - ")</f>
        <v>477.25</v>
      </c>
      <c r="H16" s="451">
        <f>IF(ISNUMBER(Datos!O16),Datos!O16," - ")</f>
        <v>76</v>
      </c>
      <c r="I16" s="452">
        <f t="shared" ref="I16:I22" si="5">IF(ISNUMBER(H16/B16),H16/B16," - ")</f>
        <v>19</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51</v>
      </c>
      <c r="E18" s="452">
        <f>IF(ISNUMBER(D18/B18),D18/B18," - ")</f>
        <v>51</v>
      </c>
      <c r="F18" s="451">
        <f>IF(ISNUMBER(Datos!N18),Datos!N18," - ")</f>
        <v>97</v>
      </c>
      <c r="G18" s="452">
        <f>IF(ISNUMBER(F18/B18),F18/B18," - ")</f>
        <v>97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437</v>
      </c>
      <c r="E23" s="1147">
        <f t="shared" si="3"/>
        <v>87.4</v>
      </c>
      <c r="F23" s="1146">
        <f>SUBTOTAL(9,F16:F22)</f>
        <v>2006</v>
      </c>
      <c r="G23" s="1147">
        <f t="shared" si="4"/>
        <v>401.2</v>
      </c>
      <c r="H23" s="1146">
        <f>SUBTOTAL(9,H16:H22)</f>
        <v>76</v>
      </c>
      <c r="I23" s="1147">
        <f>IF(ISNUMBER(H23/B23),H23/B23," - ")</f>
        <v>15.2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1499</v>
      </c>
      <c r="E31" s="1085">
        <f>IF(ISNUMBER(D31/B31),D31/B31," - ")</f>
        <v>136.27272727272728</v>
      </c>
      <c r="F31" s="1084">
        <f>SUBTOTAL(9,F8:F30)</f>
        <v>2893</v>
      </c>
      <c r="G31" s="1085">
        <f>IF(ISNUMBER(F31/B31),F31/B31," - ")</f>
        <v>263</v>
      </c>
      <c r="H31" s="1084">
        <f>SUBTOTAL(9,H8:H30)</f>
        <v>1205</v>
      </c>
      <c r="I31" s="1085">
        <f>IF(ISNUMBER(H31/B31),H31/B31," - ")</f>
        <v>109.54545454545455</v>
      </c>
    </row>
    <row r="34" spans="1:1">
      <c r="A34" s="439" t="str">
        <f>Criterios!A4</f>
        <v>Fecha Informe: 06 may. 2023</v>
      </c>
    </row>
    <row r="39" spans="1:1">
      <c r="A39" s="462"/>
    </row>
  </sheetData>
  <sheetProtection algorithmName="SHA-512" hashValue="qilky55E23l0nWn2uRL050CpKL8lpQYPPCuK+wbVEvzOcLdg38OQnTra6R/Xk47y4gZO1ICTqZuaZ/f1PlTYWw==" saltValue="rdIqXTqVypRtWwdRGWJ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CRISTOBAL DE LA LAGUNA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751</v>
      </c>
      <c r="C9" s="489">
        <f>IF(ISNUMBER(Datos!Q9),Datos!Q9," - ")</f>
        <v>792</v>
      </c>
      <c r="D9" s="456">
        <f>IF(ISNUMBER(Datos!R9),Datos!R9," - ")</f>
        <v>8954</v>
      </c>
    </row>
    <row r="10" spans="1:4">
      <c r="A10" s="450" t="str">
        <f>Datos!A10</f>
        <v>Jdos. Violencia contra la mujer</v>
      </c>
      <c r="B10" s="488">
        <f>IF(ISNUMBER(Datos!P10),Datos!P10," - ")</f>
        <v>0</v>
      </c>
      <c r="C10" s="489">
        <f>IF(ISNUMBER(Datos!Q10),Datos!Q10," - ")</f>
        <v>3</v>
      </c>
      <c r="D10" s="456">
        <f>IF(ISNUMBER(Datos!R10),Datos!R10," - ")</f>
        <v>62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751</v>
      </c>
      <c r="C14" s="1150">
        <f>SUBTOTAL(9,C9:C13)</f>
        <v>795</v>
      </c>
      <c r="D14" s="1148">
        <f>SUBTOTAL(9,D9:D13)</f>
        <v>9016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97</v>
      </c>
      <c r="C16" s="489">
        <f>IF(ISNUMBER(Datos!Q16),Datos!Q16," - ")</f>
        <v>166</v>
      </c>
      <c r="D16" s="456">
        <f>IF(ISNUMBER(Datos!R16),Datos!R16," - ")</f>
        <v>412</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4</v>
      </c>
      <c r="C18" s="489">
        <f>IF(ISNUMBER(Datos!Q18),Datos!Q18," - ")</f>
        <v>5</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101</v>
      </c>
      <c r="C23" s="1150">
        <f>SUBTOTAL(9,C16:C22)</f>
        <v>171</v>
      </c>
      <c r="D23" s="1148">
        <f>SUBTOTAL(9,D16:D22)</f>
        <v>429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852</v>
      </c>
      <c r="C31" s="1089">
        <f>SUBTOTAL(9,C8:C30)</f>
        <v>966</v>
      </c>
      <c r="D31" s="1090">
        <f>SUBTOTAL(9,D8:D30)</f>
        <v>9445</v>
      </c>
    </row>
    <row r="32" spans="1:4" ht="7.5" customHeight="1"/>
    <row r="33" spans="1:1" ht="6" customHeight="1"/>
    <row r="34" spans="1:1">
      <c r="A34" s="439" t="str">
        <f>Criterios!A4</f>
        <v>Fecha Informe: 06 may. 2023</v>
      </c>
    </row>
    <row r="39" spans="1:1">
      <c r="A39" s="462"/>
    </row>
  </sheetData>
  <sheetProtection algorithmName="SHA-512" hashValue="364sXjihRN3XEvdph9Nc10PyCzlPz9XMiMI+8sH6a+StmdXllgHUzX+SGqoJD5UOx5KYmInSYZYf9folk31YbQ==" saltValue="7+tKfIo9l23BuMuj6z/Q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CRISTOBAL DE LA LAGUNA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-5.4960742326909354E-2</v>
      </c>
      <c r="C9" s="515">
        <f>IF(ISNUMBER(
   IF(J_V="SI",(Datos!J9-Datos!T9)/Datos!T9,(Datos!J9+Datos!Z9-(Datos!T9+Datos!AH9))/(Datos!T9+Datos!AH9))
     ),IF(J_V="SI",(Datos!J9-Datos!T9)/Datos!T9,(Datos!J9+Datos!Z9-(Datos!T9+Datos!AH9))/(Datos!T9+Datos!AH9))," - ")</f>
        <v>-6.4274061990212072E-2</v>
      </c>
      <c r="D9" s="515">
        <f>IF(ISNUMBER(
   IF(J_V="SI",(Datos!K9-Datos!U9)/Datos!U9,(Datos!K9+Datos!AA9-(Datos!U9+Datos!AI9))/(Datos!U9+Datos!AI9))
     ),IF(J_V="SI",(Datos!K9-Datos!U9)/Datos!U9,(Datos!K9+Datos!AA9-(Datos!U9+Datos!AI9))/(Datos!U9+Datos!AI9))," - ")</f>
        <v>-3.591549295774648E-2</v>
      </c>
      <c r="E9" s="515">
        <f>IF(ISNUMBER(
   IF(J_V="SI",(Datos!L9-Datos!V9)/Datos!V9,(Datos!L9+Datos!AB9-(Datos!V9+Datos!AJ9))/(Datos!V9+Datos!AJ9))
     ),IF(J_V="SI",(Datos!L9-Datos!V9)/Datos!V9,(Datos!L9+Datos!AB9-(Datos!V9+Datos!AJ9))/(Datos!V9+Datos!AJ9))," - ")</f>
        <v>-6.4534816359633873E-2</v>
      </c>
      <c r="F9" s="515">
        <f>IF(ISNUMBER((Datos!M9-Datos!W9)/Datos!W9),(Datos!M9-Datos!W9)/Datos!W9," - ")</f>
        <v>-0.14156378600823044</v>
      </c>
      <c r="G9" s="516">
        <f>IF(ISNUMBER((Datos!N9-Datos!X9)/Datos!X9),(Datos!N9-Datos!X9)/Datos!X9," - ")</f>
        <v>1.3808975834292289E-2</v>
      </c>
      <c r="H9" s="514">
        <f>IF(ISNUMBER(((NºAsuntos!G9/NºAsuntos!E9)-Datos!BD9)/Datos!BD9),((NºAsuntos!G9/NºAsuntos!E9)-Datos!BD9)/Datos!BD9," - ")</f>
        <v>3.0306490266564477E-2</v>
      </c>
      <c r="I9" s="515">
        <f>IF(ISNUMBER(((NºAsuntos!I9/NºAsuntos!G9)-Datos!BE9)/Datos!BE9),((NºAsuntos!I9/NºAsuntos!G9)-Datos!BE9)/Datos!BE9," - ")</f>
        <v>-2.9685492498670606E-2</v>
      </c>
      <c r="J9" s="521">
        <f>IF(ISNUMBER((('Resol  Asuntos'!D9/NºAsuntos!G9)-Datos!BF9)/Datos!BF9),(('Resol  Asuntos'!D9/NºAsuntos!G9)-Datos!BF9)/Datos!BF9," - ")</f>
        <v>0.24494288709136472</v>
      </c>
      <c r="K9" s="522">
        <f>IF(ISNUMBER((((NºAsuntos!C9+NºAsuntos!E9)/NºAsuntos!G9)-Datos!BG9)/Datos!BG9),(((NºAsuntos!C9+NºAsuntos!E9)/NºAsuntos!G9)-Datos!BG9)/Datos!BG9," - ")</f>
        <v>-2.2335932852935749E-2</v>
      </c>
    </row>
    <row r="10" spans="1:11">
      <c r="A10" s="450" t="str">
        <f>Datos!A10</f>
        <v>Jdos. Violencia contra la mujer</v>
      </c>
      <c r="B10" s="514">
        <f>IF(ISNUMBER((Datos!I10-Datos!S10)/Datos!S10),(Datos!I10-Datos!S10)/Datos!S10," - ")</f>
        <v>0.72413793103448276</v>
      </c>
      <c r="C10" s="515">
        <f>IF(ISNUMBER((Datos!J10-Datos!T10)/Datos!T10),(Datos!J10-Datos!T10)/Datos!T10," - ")</f>
        <v>-0.51851851851851849</v>
      </c>
      <c r="D10" s="515">
        <f>IF(ISNUMBER((Datos!K10-Datos!U10)/Datos!U10),(Datos!K10-Datos!U10)/Datos!U10," - ")</f>
        <v>-0.13333333333333333</v>
      </c>
      <c r="E10" s="515">
        <f>IF(ISNUMBER((Datos!L10-Datos!V10)/Datos!V10),(Datos!L10-Datos!V10)/Datos!V10," - ")</f>
        <v>0.42307692307692307</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0.79999999999999993</v>
      </c>
      <c r="I10" s="515">
        <f>IF(ISNUMBER(((NºAsuntos!I10/NºAsuntos!G10)-Datos!BE10)/Datos!BE10),((NºAsuntos!I10/NºAsuntos!G10)-Datos!BE10)/Datos!BE10," - ")</f>
        <v>0.64201183431952658</v>
      </c>
      <c r="J10" s="521">
        <f>IF(ISNUMBER((('Resol  Asuntos'!D10/NºAsuntos!G10)-Datos!BF10)/Datos!BF10),(('Resol  Asuntos'!D10/NºAsuntos!G10)-Datos!BF10)/Datos!BF10," - ")</f>
        <v>0.15384615384615383</v>
      </c>
      <c r="K10" s="522">
        <f>IF(ISNUMBER((((NºAsuntos!C10+NºAsuntos!E10)/NºAsuntos!G10)-Datos!BG10)/Datos!BG10),(((NºAsuntos!C10+NºAsuntos!E10)/NºAsuntos!G10)-Datos!BG10)/Datos!BG10," - ")</f>
        <v>0.29807692307692296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-5.2282157676348549E-2</v>
      </c>
      <c r="C14" s="1152">
        <f>IF(ISNUMBER(
   IF(J_V="SI",(Datos!J14-Datos!T14)/Datos!T14,(Datos!J14+Datos!Z14-(Datos!T14+Datos!AH14))/(Datos!T14+Datos!AH14))
     ),IF(J_V="SI",(Datos!J14-Datos!T14)/Datos!T14,(Datos!J14+Datos!Z14-(Datos!T14+Datos!AH14))/(Datos!T14+Datos!AH14))," - ")</f>
        <v>-6.8240620957309178E-2</v>
      </c>
      <c r="D14" s="1152">
        <f>IF(ISNUMBER(
   IF(J_V="SI",(Datos!K14-Datos!U14)/Datos!U14,(Datos!K14+Datos!AA14-(Datos!U14+Datos!AI14))/(Datos!U14+Datos!AI14))
     ),IF(J_V="SI",(Datos!K14-Datos!U14)/Datos!U14,(Datos!K14+Datos!AA14-(Datos!U14+Datos!AI14))/(Datos!U14+Datos!AI14))," - ")</f>
        <v>-3.6933797909407665E-2</v>
      </c>
      <c r="E14" s="1152">
        <f>IF(ISNUMBER(
   IF(J_V="SI",(Datos!L14-Datos!V14)/Datos!V14,(Datos!L14+Datos!AB14-(Datos!V14+Datos!AJ14))/(Datos!V14+Datos!AJ14))
     ),IF(J_V="SI",(Datos!L14-Datos!V14)/Datos!V14,(Datos!L14+Datos!AB14-(Datos!V14+Datos!AJ14))/(Datos!V14+Datos!AJ14))," - ")</f>
        <v>-6.3070347695506526E-2</v>
      </c>
      <c r="F14" s="1153">
        <f>IF(ISNUMBER((Datos!M14-Datos!W14)/Datos!W14),(Datos!M14-Datos!W14)/Datos!W14," - ")</f>
        <v>-0.13938411669367909</v>
      </c>
      <c r="G14" s="1154">
        <f>IF(ISNUMBER((Datos!N14-Datos!X14)/Datos!X14),(Datos!N14-Datos!X14)/Datos!X14," - ")</f>
        <v>1.6036655211912942E-2</v>
      </c>
      <c r="H14" s="1154">
        <f>IF(ISNUMBER(((NºAsuntos!G14/NºAsuntos!E14)-Datos!BD14)/Datos!BD14),((NºAsuntos!G14/NºAsuntos!E14)-Datos!BD14)/Datos!BD14," - ")</f>
        <v>3.359968651999698E-2</v>
      </c>
      <c r="I14" s="1154">
        <f>IF(ISNUMBER(((NºAsuntos!I14/NºAsuntos!G14)-Datos!BE14)/Datos!BE14),((NºAsuntos!I14/NºAsuntos!G14)-Datos!BE14)/Datos!BE14," - ")</f>
        <v>-2.713889214403167E-2</v>
      </c>
      <c r="J14" s="1154">
        <f>IF(ISNUMBER((('Resol  Asuntos'!D14/NºAsuntos!G14)-Datos!BF14)/Datos!BF14),(('Resol  Asuntos'!D14/NºAsuntos!G14)-Datos!BF14)/Datos!BF14," - ")</f>
        <v>0.24181073258497288</v>
      </c>
      <c r="K14" s="1154">
        <f>IF(ISNUMBER((((NºAsuntos!C14+NºAsuntos!E14)/NºAsuntos!G14)-Datos!BG14)/Datos!BG14),(((NºAsuntos!C14+NºAsuntos!E14)/NºAsuntos!G14)-Datos!BG14)/Datos!BG14," - ")</f>
        <v>-2.0381833026015737E-2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0.27052384675527757</v>
      </c>
      <c r="C16" s="515">
        <f>IF(ISNUMBER(
   IF(D_I="SI",(Datos!J16-Datos!T16)/Datos!T16,(Datos!J16+Datos!AD16-(Datos!T16+Datos!AL16))/(Datos!T16+Datos!AL16))
     ),IF(D_I="SI",(Datos!J16-Datos!T16)/Datos!T16,(Datos!J16+Datos!AD16-(Datos!T16+Datos!AL16))/(Datos!T16+Datos!AL16))," - ")</f>
        <v>6.1759425493716338E-2</v>
      </c>
      <c r="D16" s="515">
        <f>IF(ISNUMBER(
   IF(D_I="SI",(Datos!K16-Datos!U16)/Datos!U16,(Datos!K16+Datos!AE16-(Datos!U16+Datos!AM16))/(Datos!U16+Datos!AM16))
     ),IF(D_I="SI",(Datos!K16-Datos!U16)/Datos!U16,(Datos!K16+Datos!AE16-(Datos!U16+Datos!AM16))/(Datos!U16+Datos!AM16))," - ")</f>
        <v>6.117824773413897E-2</v>
      </c>
      <c r="E16" s="515">
        <f>IF(ISNUMBER(
   IF(D_I="SI",(Datos!L16-Datos!V16)/Datos!V16,(Datos!L16+Datos!AF16-(Datos!V16+Datos!AN16))/(Datos!V16+Datos!AN16))
     ),IF(D_I="SI",(Datos!L16-Datos!V16)/Datos!V16,(Datos!L16+Datos!AF16-(Datos!V16+Datos!AN16))/(Datos!V16+Datos!AN16))," - ")</f>
        <v>0.22207357859531773</v>
      </c>
      <c r="F16" s="515">
        <f>IF(ISNUMBER((Datos!M16-Datos!W16)/Datos!W16),(Datos!M16-Datos!W16)/Datos!W16," - ")</f>
        <v>-3.7406483790523692E-2</v>
      </c>
      <c r="G16" s="516">
        <f>IF(ISNUMBER((Datos!N16-Datos!X16)/Datos!X16),(Datos!N16-Datos!X16)/Datos!X16," - ")</f>
        <v>0.14654654654654656</v>
      </c>
      <c r="H16" s="514">
        <f>IF(ISNUMBER(((NºAsuntos!G16/NºAsuntos!E16)-Datos!BD16)/Datos!BD16),((NºAsuntos!G16/NºAsuntos!E16)-Datos!BD16)/Datos!BD16," - ")</f>
        <v>-5.4737235726171009E-4</v>
      </c>
      <c r="I16" s="515">
        <f>IF(ISNUMBER(((NºAsuntos!I16/NºAsuntos!G16)-Datos!BE16)/Datos!BE16),((NºAsuntos!I16/NºAsuntos!G16)-Datos!BE16)/Datos!BE16," - ")</f>
        <v>0.15161951463359491</v>
      </c>
      <c r="J16" s="521">
        <f>IF(ISNUMBER((('Resol  Asuntos'!D16/NºAsuntos!G16)-Datos!BF16)/Datos!BF16),(('Resol  Asuntos'!D16/NºAsuntos!G16)-Datos!BF16)/Datos!BF16," - ")</f>
        <v>-9.2901198959895667E-2</v>
      </c>
      <c r="K16" s="522">
        <f>IF(ISNUMBER((((NºAsuntos!C16+NºAsuntos!E16)/NºAsuntos!G16)-Datos!BG16)/Datos!BG16),(((NºAsuntos!C16+NºAsuntos!E16)/NºAsuntos!G16)-Datos!BG16)/Datos!BG16," - ")</f>
        <v>6.246112029590601E-2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-3.5087719298245612E-2</v>
      </c>
      <c r="C18" s="515">
        <f>IF(ISNUMBER(
   IF(D_I="SI",(Datos!J18-Datos!T18)/Datos!T18,(Datos!J18+Datos!AD18-(Datos!T18+Datos!AL18))/(Datos!T18+Datos!AL18))
     ),IF(D_I="SI",(Datos!J18-Datos!T18)/Datos!T18,(Datos!J18+Datos!AD18-(Datos!T18+Datos!AL18))/(Datos!T18+Datos!AL18))," - ")</f>
        <v>0.19863013698630136</v>
      </c>
      <c r="D18" s="515">
        <f>IF(ISNUMBER(
   IF(D_I="SI",(Datos!K18-Datos!U18)/Datos!U18,(Datos!K18+Datos!AE18-(Datos!U18+Datos!AM18))/(Datos!U18+Datos!AM18))
     ),IF(D_I="SI",(Datos!K18-Datos!U18)/Datos!U18,(Datos!K18+Datos!AE18-(Datos!U18+Datos!AM18))/(Datos!U18+Datos!AM18))," - ")</f>
        <v>0.19863013698630136</v>
      </c>
      <c r="E18" s="515">
        <f>IF(ISNUMBER(
   IF(D_I="SI",(Datos!L18-Datos!V18)/Datos!V18,(Datos!L18+Datos!AF18-(Datos!V18+Datos!AN18))/(Datos!V18+Datos!AN18))
     ),IF(D_I="SI",(Datos!L18-Datos!V18)/Datos!V18,(Datos!L18+Datos!AF18-(Datos!V18+Datos!AN18))/(Datos!V18+Datos!AN18))," - ")</f>
        <v>5.2631578947368418E-2</v>
      </c>
      <c r="F18" s="515">
        <f>IF(ISNUMBER((Datos!M18-Datos!W18)/Datos!W18),(Datos!M18-Datos!W18)/Datos!W18," - ")</f>
        <v>0.02</v>
      </c>
      <c r="G18" s="516">
        <f>IF(ISNUMBER((Datos!N18-Datos!X18)/Datos!X18),(Datos!N18-Datos!X18)/Datos!X18," - ")</f>
        <v>0.40579710144927539</v>
      </c>
      <c r="H18" s="514">
        <f>IF(ISNUMBER(((NºAsuntos!G18/NºAsuntos!E18)-Datos!BD18)/Datos!BD18),((NºAsuntos!G18/NºAsuntos!E18)-Datos!BD18)/Datos!BD18," - ")</f>
        <v>0</v>
      </c>
      <c r="I18" s="515">
        <f>IF(ISNUMBER(((NºAsuntos!I18/NºAsuntos!G18)-Datos!BE18)/Datos!BE18),((NºAsuntos!I18/NºAsuntos!G18)-Datos!BE18)/Datos!BE18," - ")</f>
        <v>-0.1218045112781955</v>
      </c>
      <c r="J18" s="521">
        <f>IF(ISNUMBER((('Resol  Asuntos'!D18/NºAsuntos!G18)-Datos!BF18)/Datos!BF18),(('Resol  Asuntos'!D18/NºAsuntos!G18)-Datos!BF18)/Datos!BF18," - ")</f>
        <v>-0.1490285714285714</v>
      </c>
      <c r="K18" s="522">
        <f>IF(ISNUMBER((((NºAsuntos!C18+NºAsuntos!E18)/NºAsuntos!G18)-Datos!BG18)/Datos!BG18),(((NºAsuntos!C18+NºAsuntos!E18)/NºAsuntos!G18)-Datos!BG18)/Datos!BG18," - ")</f>
        <v>-5.4750175932441948E-2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0.25557206537890043</v>
      </c>
      <c r="C23" s="1152">
        <f>IF(ISNUMBER(
   IF(Criterios!B14="SI",(Datos!J23-Datos!T23)/Datos!T23,(Datos!J23+Datos!AD23-(Datos!T23+Datos!AL23))/(Datos!T23+Datos!AL23))
     ),IF(Criterios!B14="SI",(Datos!J23-Datos!T23)/Datos!T23,(Datos!J23+Datos!AD23-(Datos!T23+Datos!AL23))/(Datos!T23+Datos!AL23))," - ")</f>
        <v>6.8577277379733875E-2</v>
      </c>
      <c r="D23" s="1152">
        <f>IF(ISNUMBER(
   IF(Criterios!B14="SI",(Datos!K23-Datos!U23)/Datos!U23,(Datos!K23+Datos!AE23-(Datos!U23+Datos!AM23))/(Datos!U23+Datos!AM23))
     ),IF(Criterios!B14="SI",(Datos!K23-Datos!U23)/Datos!U23,(Datos!K23+Datos!AE23-(Datos!U23+Datos!AM23))/(Datos!U23+Datos!AM23))," - ")</f>
        <v>6.8360773085182527E-2</v>
      </c>
      <c r="E23" s="1152">
        <f>IF(ISNUMBER(
   IF(Criterios!B14="SI",(Datos!L23-Datos!V23)/Datos!V23,(Datos!L23+Datos!AF23-(Datos!V23+Datos!AN23))/(Datos!V23+Datos!AN23))
     ),IF(Criterios!B14="SI",(Datos!L23-Datos!V23)/Datos!V23,(Datos!L23+Datos!AF23-(Datos!V23+Datos!AN23))/(Datos!V23+Datos!AN23))," - ")</f>
        <v>0.21446862996158772</v>
      </c>
      <c r="F23" s="1153">
        <f>IF(ISNUMBER((Datos!M23-Datos!W23)/Datos!W23),(Datos!M23-Datos!W23)/Datos!W23," - ")</f>
        <v>-3.1042128603104215E-2</v>
      </c>
      <c r="G23" s="1154">
        <f>IF(ISNUMBER((Datos!N23-Datos!X23)/Datos!X23),(Datos!N23-Datos!X23)/Datos!X23," - ")</f>
        <v>0.15686274509803921</v>
      </c>
      <c r="H23" s="1154">
        <f>IF(ISNUMBER(((NºAsuntos!G23/NºAsuntos!E23)-Datos!BD23)/Datos!BD23),((NºAsuntos!G23/NºAsuntos!E23)-Datos!BD23)/Datos!BD23," - ")</f>
        <v>-2.0260986185497237E-4</v>
      </c>
      <c r="I23" s="1154">
        <f>IF(ISNUMBER(((NºAsuntos!I23/NºAsuntos!G23)-Datos!BE23)/Datos!BE23),((NºAsuntos!I23/NºAsuntos!G23)-Datos!BE23)/Datos!BE23," - ")</f>
        <v>0.13675891193054479</v>
      </c>
      <c r="J23" s="1154">
        <f>IF(ISNUMBER((('Resol  Asuntos'!D23/NºAsuntos!G23)-Datos!BF23)/Datos!BF23),(('Resol  Asuntos'!D23/NºAsuntos!G23)-Datos!BF23)/Datos!BF23," - ")</f>
        <v>-9.3042448012419704E-2</v>
      </c>
      <c r="K23" s="1154">
        <f>IF(ISNUMBER((((NºAsuntos!C23+NºAsuntos!E23)/NºAsuntos!G23)-Datos!BG23)/Datos!BG23),(((NºAsuntos!C23+NºAsuntos!E23)/NºAsuntos!G23)-Datos!BG23)/Datos!BG23," - ")</f>
        <v>5.528562460028303E-2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-9.9171863817605569E-3</v>
      </c>
      <c r="C31" s="1092">
        <f>IF(ISNUMBER(
   IF(J_V="SI",(Datos!J31-Datos!T31)/Datos!T31,(Datos!J31+Datos!Z31-(Datos!T31+Datos!AH31))/(Datos!T31+Datos!AH31))
     ),IF(J_V="SI",(Datos!J31-Datos!T31)/Datos!T31,(Datos!J31+Datos!Z31-(Datos!T31+Datos!AH31))/(Datos!T31+Datos!AH31))," - ")</f>
        <v>-1.6603021749958492E-3</v>
      </c>
      <c r="D31" s="1092">
        <f>IF(ISNUMBER(
   IF(J_V="SI",(Datos!K31-Datos!U31)/Datos!U31,(Datos!K31+Datos!AA31-(Datos!U31+Datos!AI31))/(Datos!U31+Datos!AI31))
     ),IF(J_V="SI",(Datos!K31-Datos!U31)/Datos!U31,(Datos!K31+Datos!AA31-(Datos!U31+Datos!AI31))/(Datos!U31+Datos!AI31))," - ")</f>
        <v>1.5007062146892656E-2</v>
      </c>
      <c r="E31" s="1092">
        <f>IF(ISNUMBER(
   IF(J_V="SI",(Datos!L31-Datos!V31)/Datos!V31,(Datos!L31+Datos!AB31-(Datos!V31+Datos!AJ31))/(Datos!V31+Datos!AJ31))
     ),IF(J_V="SI",(Datos!L31-Datos!V31)/Datos!V31,(Datos!L31+Datos!AB31-(Datos!V31+Datos!AJ31))/(Datos!V31+Datos!AJ31))," - ")</f>
        <v>-2.0647812897543791E-2</v>
      </c>
      <c r="F31" s="1093">
        <f>IF(ISNUMBER((Datos!M31-Datos!W31)/Datos!W31),(Datos!M31-Datos!W31)/Datos!W31," - ")</f>
        <v>-0.11038575667655787</v>
      </c>
      <c r="G31" s="1094">
        <f>IF(ISNUMBER((Datos!N31-Datos!X31)/Datos!X31),(Datos!N31-Datos!X31)/Datos!X31," - ")</f>
        <v>0.10970464135021098</v>
      </c>
      <c r="H31" s="1095">
        <f>IF(ISNUMBER((Tasas!B31-Datos!BD31)/Datos!BD31),(Tasas!B31-Datos!BD31)/Datos!BD31," - ")</f>
        <v>1.6695083204845206E-2</v>
      </c>
      <c r="I31" s="1096">
        <f>IF(ISNUMBER((Tasas!C31-Datos!BE31)/Datos!BE31),(Tasas!C31-Datos!BE31)/Datos!BE31," - ")</f>
        <v>-3.5127711297910584E-2</v>
      </c>
      <c r="J31" s="1097">
        <f>IF(ISNUMBER((Tasas!D31-Datos!BF31)/Datos!BF31),(Tasas!D31-Datos!BF31)/Datos!BF31," - ")</f>
        <v>0.10294026522260405</v>
      </c>
      <c r="K31" s="1097">
        <f>IF(ISNUMBER((Tasas!E31-Datos!BG31)/Datos!BG31),(Tasas!E31-Datos!BG31)/Datos!BG31," - ")</f>
        <v>-2.1455515752434155E-2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P5O3DeMuwnuzBhQAxfDsS3X2HdNi+70HhH8xySTpj3WrJR0V1DvZHqRFrExi8/9OSQQESPPJFxOlTppVFfJhw==" saltValue="zRbd+JPR5sU38wjqzhBP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CRISTOBAL DE LA LAGUNA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0.95467224546722451</v>
      </c>
      <c r="C9" s="498">
        <f>IF(ISNUMBER(NºAsuntos!I9/NºAsuntos!G9),NºAsuntos!I9/NºAsuntos!G9," - ")</f>
        <v>2.9488677867056245</v>
      </c>
      <c r="D9" s="499">
        <f>IF(ISNUMBER('Resol  Asuntos'!D9/NºAsuntos!G9),'Resol  Asuntos'!D9/NºAsuntos!G9," - ")</f>
        <v>0.38093498904309714</v>
      </c>
      <c r="E9" s="500">
        <f>IF(ISNUMBER((NºAsuntos!C9+NºAsuntos!E9)/NºAsuntos!G9),(NºAsuntos!C9+NºAsuntos!E9)/NºAsuntos!G9," - ")</f>
        <v>3.9488677867056245</v>
      </c>
      <c r="G9" s="523"/>
    </row>
    <row r="10" spans="1:7">
      <c r="A10" s="450" t="str">
        <f>Datos!A10</f>
        <v>Jdos. Violencia contra la mujer</v>
      </c>
      <c r="B10" s="497">
        <f>IF(ISNUMBER(NºAsuntos!G10/NºAsuntos!E10),NºAsuntos!G10/NºAsuntos!E10," - ")</f>
        <v>2</v>
      </c>
      <c r="C10" s="498">
        <f>IF(ISNUMBER(NºAsuntos!I10/NºAsuntos!G10),NºAsuntos!I10/NºAsuntos!G10," - ")</f>
        <v>1.4230769230769231</v>
      </c>
      <c r="D10" s="499">
        <f>IF(ISNUMBER('Resol  Asuntos'!D10/NºAsuntos!G10),'Resol  Asuntos'!D10/NºAsuntos!G10," - ")</f>
        <v>0.73076923076923073</v>
      </c>
      <c r="E10" s="500">
        <f>IF(ISNUMBER((NºAsuntos!C10+NºAsuntos!E10)/NºAsuntos!G10),(NºAsuntos!C10+NºAsuntos!E10)/NºAsuntos!G10," - ")</f>
        <v>2.4230769230769229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0.95938910100659491</v>
      </c>
      <c r="C14" s="1156">
        <f>IF(ISNUMBER(NºAsuntos!I14/NºAsuntos!G14),NºAsuntos!I14/NºAsuntos!G14," - ")</f>
        <v>2.9345151953690305</v>
      </c>
      <c r="D14" s="1157">
        <f>IF(ISNUMBER('Resol  Asuntos'!D14/NºAsuntos!G14),'Resol  Asuntos'!D14/NºAsuntos!G14," - ")</f>
        <v>0.38422575976845152</v>
      </c>
      <c r="E14" s="1158">
        <f>IF(ISNUMBER((NºAsuntos!C14+NºAsuntos!E14)/NºAsuntos!G14),(NºAsuntos!C14+NºAsuntos!E14)/NºAsuntos!G14," - ")</f>
        <v>3.9345151953690305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0.95028745350016908</v>
      </c>
      <c r="C16" s="498">
        <f>IF(ISNUMBER(NºAsuntos!I16/NºAsuntos!G16),NºAsuntos!I16/NºAsuntos!G16," - ")</f>
        <v>0.6501779359430605</v>
      </c>
      <c r="D16" s="499">
        <f>IF(ISNUMBER('Resol  Asuntos'!D16/NºAsuntos!G16),'Resol  Asuntos'!D16/NºAsuntos!G16," - ")</f>
        <v>0.13736654804270462</v>
      </c>
      <c r="E16" s="500">
        <f>IF(ISNUMBER((NºAsuntos!C16+NºAsuntos!E16)/NºAsuntos!G16),(NºAsuntos!C16+NºAsuntos!E16)/NºAsuntos!G16," - ")</f>
        <v>1.6306049822064057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0.34285714285714286</v>
      </c>
      <c r="D18" s="499">
        <f>IF(ISNUMBER('Resol  Asuntos'!D18/NºAsuntos!G18),'Resol  Asuntos'!D18/NºAsuntos!G18," - ")</f>
        <v>0.29142857142857143</v>
      </c>
      <c r="E18" s="500">
        <f>IF(ISNUMBER((NºAsuntos!C18+NºAsuntos!E18)/NºAsuntos!G18),(NºAsuntos!C18+NºAsuntos!E18)/NºAsuntos!G18," - ")</f>
        <v>1.3142857142857143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0.95306513409961691</v>
      </c>
      <c r="C23" s="1156">
        <f>IF(ISNUMBER(NºAsuntos!I23/NºAsuntos!G23),NºAsuntos!I23/NºAsuntos!G23," - ")</f>
        <v>0.63551088777219433</v>
      </c>
      <c r="D23" s="1159">
        <f>IF(ISNUMBER('Resol  Asuntos'!D23/NºAsuntos!G23),'Resol  Asuntos'!D23/NºAsuntos!G23," - ")</f>
        <v>0.14639865996649917</v>
      </c>
      <c r="E23" s="1158">
        <f>IF(ISNUMBER((NºAsuntos!C23+NºAsuntos!E23)/NºAsuntos!G23),(NºAsuntos!C23+NºAsuntos!E23)/NºAsuntos!G23," - ")</f>
        <v>1.6154103852596315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0.9560951272243472</v>
      </c>
      <c r="C31" s="1099">
        <f>IF(ISNUMBER(NºAsuntos!I31/NºAsuntos!G31),NºAsuntos!I31/NºAsuntos!G31," - ")</f>
        <v>1.7408244912158637</v>
      </c>
      <c r="D31" s="1100">
        <f>IF(ISNUMBER('Resol  Asuntos'!D31/NºAsuntos!G31),'Resol  Asuntos'!D31/NºAsuntos!G31," - ")</f>
        <v>0.26074099843451037</v>
      </c>
      <c r="E31" s="1101">
        <f>IF(ISNUMBER((NºAsuntos!C31+NºAsuntos!E31)/NºAsuntos!G31),(NºAsuntos!C31+NºAsuntos!E31)/NºAsuntos!G31," - ")</f>
        <v>2.7303878935467036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ZwoXBJ+pQ4wWCjiTXHHLb23nsjmJ7sDrJFYChL+pOE5NT+I0Jb3WwXfiCmVv6RSW5/298ZaVCMYW36+fh9AjA==" saltValue="suMpLhDyCnmGA+LrsLMv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CRISTOBAL DE LA 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751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792</v>
      </c>
      <c r="Y9" s="374">
        <f>SUM(W9:X9)</f>
        <v>792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8954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1043</v>
      </c>
      <c r="AJ9" s="243" t="str">
        <f>IF(ISNUMBER(Datos!BW9),Datos!BW9," - ")</f>
        <v xml:space="preserve"> - </v>
      </c>
      <c r="AK9" s="242" t="str">
        <f>IF(ISNUMBER(Datos!BX9),Datos!BX9," - ")</f>
        <v xml:space="preserve"> - </v>
      </c>
      <c r="AL9" s="266">
        <f>IF(ISNUMBER(NºAsuntos!G9/NºAsuntos!E9),NºAsuntos!G9/NºAsuntos!E9," - ")</f>
        <v>0.95467224546722451</v>
      </c>
      <c r="AM9" s="284">
        <f>IF(ISNUMBER(((NºAsuntos!I9/NºAsuntos!G9)*11)/factor_trimestre),((NºAsuntos!I9/NºAsuntos!G9)*11)/factor_trimestre," - ")</f>
        <v>5.89773557341125</v>
      </c>
      <c r="AN9" s="267">
        <f>IF(ISNUMBER('Resol  Asuntos'!D9/NºAsuntos!G9),'Resol  Asuntos'!D9/NºAsuntos!G9," - ")</f>
        <v>0.38093498904309714</v>
      </c>
      <c r="AO9" s="268">
        <f>IF(ISNUMBER((NºAsuntos!C9+NºAsuntos!E9)/NºAsuntos!G9),(NºAsuntos!C9+NºAsuntos!E9)/NºAsuntos!G9," - ")</f>
        <v>3.9488677867056245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3</v>
      </c>
      <c r="Y10" s="374">
        <f t="shared" ref="Y10:Y13" si="0">SUM(W10:X10)</f>
        <v>29</v>
      </c>
      <c r="Z10" s="375" t="str">
        <f>IF(ISNUMBER(Datos!CC10),Datos!CC10," - ")</f>
        <v xml:space="preserve"> - </v>
      </c>
      <c r="AA10" s="372">
        <f>IF(ISNUMBER(Datos!L10),Datos!L10,"-")</f>
        <v>37</v>
      </c>
      <c r="AB10" s="374">
        <f>IF(ISNUMBER(Datos!R10),Datos!R10," - ")</f>
        <v>62</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2.8461538461538463</v>
      </c>
      <c r="AN10" s="267">
        <f>IF(ISNUMBER('Resol  Asuntos'!D10/NºAsuntos!G10),'Resol  Asuntos'!D10/NºAsuntos!G10," - ")</f>
        <v>0.73076923076923073</v>
      </c>
      <c r="AO10" s="268">
        <f>IF(ISNUMBER((NºAsuntos!C10+NºAsuntos!E10)/NºAsuntos!G10),(NºAsuntos!C10+NºAsuntos!E10)/NºAsuntos!G10," - ")</f>
        <v>2.4230769230769229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50</v>
      </c>
      <c r="G14" s="1163">
        <f t="shared" si="5"/>
        <v>50</v>
      </c>
      <c r="H14" s="1162">
        <f t="shared" si="5"/>
        <v>0</v>
      </c>
      <c r="I14" s="1164">
        <f t="shared" si="5"/>
        <v>0</v>
      </c>
      <c r="J14" s="1164">
        <f t="shared" si="5"/>
        <v>0</v>
      </c>
      <c r="K14" s="1164">
        <f t="shared" si="5"/>
        <v>0</v>
      </c>
      <c r="L14" s="1164">
        <f t="shared" si="5"/>
        <v>751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795</v>
      </c>
      <c r="Y14" s="1165">
        <f t="shared" si="6"/>
        <v>821</v>
      </c>
      <c r="Z14" s="1165">
        <f t="shared" si="6"/>
        <v>0</v>
      </c>
      <c r="AA14" s="1165">
        <f t="shared" si="6"/>
        <v>37</v>
      </c>
      <c r="AB14" s="1165">
        <f t="shared" si="6"/>
        <v>9016</v>
      </c>
      <c r="AC14" s="1165">
        <f t="shared" si="6"/>
        <v>99</v>
      </c>
      <c r="AD14" s="1165">
        <f t="shared" si="6"/>
        <v>0</v>
      </c>
      <c r="AE14" s="1169">
        <f t="shared" si="6"/>
        <v>0</v>
      </c>
      <c r="AF14" s="1162">
        <f t="shared" si="6"/>
        <v>0</v>
      </c>
      <c r="AG14" s="1170">
        <f t="shared" si="6"/>
        <v>0</v>
      </c>
      <c r="AH14" s="1167">
        <f t="shared" si="6"/>
        <v>0</v>
      </c>
      <c r="AI14" s="1162">
        <f t="shared" si="6"/>
        <v>1062</v>
      </c>
      <c r="AJ14" s="1164">
        <f t="shared" si="6"/>
        <v>0</v>
      </c>
      <c r="AK14" s="1167">
        <f>SUBTOTAL(9,AK9:AK13)</f>
        <v>0</v>
      </c>
      <c r="AL14" s="1171">
        <f>IF(ISNUMBER(NºAsuntos!G14/NºAsuntos!E14),NºAsuntos!G14/NºAsuntos!E14," - ")</f>
        <v>0.95938910100659491</v>
      </c>
      <c r="AM14" s="1171">
        <f>IF(ISNUMBER(((NºAsuntos!I14/NºAsuntos!G14)*11)/factor_trimestre),((NºAsuntos!I14/NºAsuntos!G14)*11)/factor_trimestre," - ")</f>
        <v>5.869030390738061</v>
      </c>
      <c r="AN14" s="1172">
        <f>IF(ISNUMBER('Resol  Asuntos'!D14/NºAsuntos!G14),'Resol  Asuntos'!D14/NºAsuntos!G14," - ")</f>
        <v>0.38422575976845152</v>
      </c>
      <c r="AO14" s="1173">
        <f>IF(ISNUMBER((NºAsuntos!C14+NºAsuntos!E14)/NºAsuntos!G14),(NºAsuntos!C14+NºAsuntos!E14)/NºAsuntos!G14," - ")</f>
        <v>3.9345151953690305</v>
      </c>
      <c r="AP14" s="1174" t="str">
        <f t="shared" si="2"/>
        <v xml:space="preserve"> - </v>
      </c>
      <c r="AQ14" s="1174">
        <f>IF(ISNUMBER((H14-W14+K14)/(F14)),(H14-W14+K14)/(F14)," - ")</f>
        <v>-0.52</v>
      </c>
      <c r="AR14" s="1175">
        <f>IF(ISNUMBER((Datos!P14-Datos!Q14)/(Datos!R14-Datos!P14+Datos!Q14)),(Datos!P14-Datos!Q14)/(Datos!R14-Datos!P14+Datos!Q14)," - ")</f>
        <v>-4.8565121412803532E-3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1680</v>
      </c>
      <c r="G16" s="373">
        <f>IF(ISNUMBER(IF(D_I="SI",Datos!I16,Datos!I16+Datos!AC16)),IF(D_I="SI",Datos!I16,Datos!I16+Datos!AC16)," - ")</f>
        <v>1625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2810</v>
      </c>
      <c r="X16" s="240">
        <f>IF(ISNUMBER(Datos!Q16),Datos!Q16," - ")</f>
        <v>166</v>
      </c>
      <c r="Y16" s="374">
        <f>SUM(W16)</f>
        <v>2810</v>
      </c>
      <c r="Z16" s="375" t="str">
        <f>IF(ISNUMBER(Datos!CC16),Datos!CC16," - ")</f>
        <v xml:space="preserve"> - </v>
      </c>
      <c r="AA16" s="372">
        <f>IF(ISNUMBER(IF(D_I="SI",Datos!L16,Datos!L16+Datos!AF16)),IF(D_I="SI",Datos!L16,Datos!L16+Datos!AF16)," - ")</f>
        <v>1827</v>
      </c>
      <c r="AB16" s="374">
        <f>IF(ISNUMBER(Datos!R16),Datos!R16," - ")</f>
        <v>412</v>
      </c>
      <c r="AC16" s="374">
        <f t="shared" ref="AC16:AC22" si="8">IF(ISNUMBER(AA16+AB16),AA16+AB16," - ")</f>
        <v>2239</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386</v>
      </c>
      <c r="AJ16" s="245" t="str">
        <f>IF(ISNUMBER(Datos!BW16),Datos!BW16," - ")</f>
        <v xml:space="preserve"> - </v>
      </c>
      <c r="AK16" s="246" t="str">
        <f>IF(ISNUMBER(Datos!BX16),Datos!BX16," - ")</f>
        <v xml:space="preserve"> - </v>
      </c>
      <c r="AL16" s="266">
        <f>IF(ISNUMBER(NºAsuntos!G16/NºAsuntos!E16),NºAsuntos!G16/NºAsuntos!E16," - ")</f>
        <v>0.95028745350016908</v>
      </c>
      <c r="AM16" s="284">
        <f>IF(ISNUMBER(((NºAsuntos!I16/NºAsuntos!G16)*11)/factor_trimestre),((NºAsuntos!I16/NºAsuntos!G16)*11)/factor_trimestre," - ")</f>
        <v>1.300355871886121</v>
      </c>
      <c r="AN16" s="267">
        <f>IF(ISNUMBER('Resol  Asuntos'!D16/NºAsuntos!G16),'Resol  Asuntos'!D16/NºAsuntos!G16," - ")</f>
        <v>0.13736654804270462</v>
      </c>
      <c r="AO16" s="268">
        <f>IF(ISNUMBER((NºAsuntos!C16+NºAsuntos!E16)/NºAsuntos!G16),(NºAsuntos!C16+NºAsuntos!E16)/NºAsuntos!G16," - ")</f>
        <v>1.6306049822064057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0</v>
      </c>
      <c r="AC17" s="374">
        <f t="shared" si="8"/>
        <v>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175</v>
      </c>
      <c r="X18" s="240">
        <f>IF(ISNUMBER(Datos!Q18),Datos!Q18," - ")</f>
        <v>5</v>
      </c>
      <c r="Y18" s="374">
        <f t="shared" si="9"/>
        <v>180</v>
      </c>
      <c r="Z18" s="375" t="str">
        <f>IF(ISNUMBER(Datos!CC18),Datos!CC18," - ")</f>
        <v xml:space="preserve"> - </v>
      </c>
      <c r="AA18" s="372">
        <f>IF(ISNUMBER(Datos!L18),Datos!L18,"-")</f>
        <v>60</v>
      </c>
      <c r="AB18" s="374">
        <f>IF(ISNUMBER(Datos!R18),Datos!R18," - ")</f>
        <v>17</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0.68571428571428572</v>
      </c>
      <c r="AN18" s="267">
        <f>IF(ISNUMBER('Resol  Asuntos'!D18/NºAsuntos!G18),'Resol  Asuntos'!D18/NºAsuntos!G18," - ")</f>
        <v>0.29142857142857143</v>
      </c>
      <c r="AO18" s="268">
        <f>IF(ISNUMBER((NºAsuntos!C18+NºAsuntos!E18)/NºAsuntos!G18),(NºAsuntos!C18+NºAsuntos!E18)/NºAsuntos!G18," - ")</f>
        <v>1.3142857142857143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1690</v>
      </c>
      <c r="G23" s="1163">
        <f>SUBTOTAL(9,G16:G22)</f>
        <v>1690</v>
      </c>
      <c r="H23" s="1162">
        <f t="shared" ref="H23:O23" si="13">SUBTOTAL(9,H15:H22)</f>
        <v>0</v>
      </c>
      <c r="I23" s="1164">
        <f t="shared" si="13"/>
        <v>0</v>
      </c>
      <c r="J23" s="1164">
        <f t="shared" si="13"/>
        <v>0</v>
      </c>
      <c r="K23" s="1164">
        <f t="shared" si="13"/>
        <v>0</v>
      </c>
      <c r="L23" s="1164">
        <f t="shared" si="13"/>
        <v>101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2985</v>
      </c>
      <c r="X23" s="1164">
        <f t="shared" si="14"/>
        <v>171</v>
      </c>
      <c r="Y23" s="1165">
        <f t="shared" si="14"/>
        <v>2990</v>
      </c>
      <c r="Z23" s="1165">
        <f t="shared" si="14"/>
        <v>0</v>
      </c>
      <c r="AA23" s="1165">
        <f t="shared" si="14"/>
        <v>1897</v>
      </c>
      <c r="AB23" s="1165">
        <f t="shared" si="14"/>
        <v>429</v>
      </c>
      <c r="AC23" s="1165">
        <f t="shared" si="14"/>
        <v>2326</v>
      </c>
      <c r="AD23" s="1165">
        <f t="shared" si="14"/>
        <v>0</v>
      </c>
      <c r="AE23" s="1169">
        <f t="shared" si="14"/>
        <v>0</v>
      </c>
      <c r="AF23" s="1162">
        <f t="shared" si="14"/>
        <v>0</v>
      </c>
      <c r="AG23" s="1170">
        <f t="shared" si="14"/>
        <v>0</v>
      </c>
      <c r="AH23" s="1167">
        <f t="shared" si="14"/>
        <v>0</v>
      </c>
      <c r="AI23" s="1162">
        <f t="shared" si="14"/>
        <v>437</v>
      </c>
      <c r="AJ23" s="1164">
        <f t="shared" si="14"/>
        <v>0</v>
      </c>
      <c r="AK23" s="1167">
        <f t="shared" si="14"/>
        <v>0</v>
      </c>
      <c r="AL23" s="1171">
        <f>IF(ISNUMBER(NºAsuntos!G23/NºAsuntos!E23),NºAsuntos!G23/NºAsuntos!E23," - ")</f>
        <v>0.95306513409961691</v>
      </c>
      <c r="AM23" s="1171">
        <f>IF(ISNUMBER(((NºAsuntos!I23/NºAsuntos!G23)*11)/factor_trimestre),((NºAsuntos!I23/NºAsuntos!G23)*11)/factor_trimestre," - ")</f>
        <v>1.2710217755443887</v>
      </c>
      <c r="AN23" s="1172">
        <f>IF(ISNUMBER('Resol  Asuntos'!D23/NºAsuntos!G23),'Resol  Asuntos'!D23/NºAsuntos!G23," - ")</f>
        <v>0.14639865996649917</v>
      </c>
      <c r="AO23" s="1173">
        <f>IF(ISNUMBER((NºAsuntos!C23+NºAsuntos!E23)/NºAsuntos!G23),(NºAsuntos!C23+NºAsuntos!E23)/NºAsuntos!G23," - ")</f>
        <v>1.6154103852596315</v>
      </c>
      <c r="AP23" s="1174" t="str">
        <f t="shared" si="2"/>
        <v xml:space="preserve"> - </v>
      </c>
      <c r="AQ23" s="1174">
        <f>IF(ISNUMBER((H23-W23+K23)/(F23)),(H23-W23+K23)/(F23)," - ")</f>
        <v>-1.7662721893491125</v>
      </c>
      <c r="AR23" s="1175">
        <f>IF(ISNUMBER((Datos!P23-Datos!Q23)/(Datos!R23-Datos!P23+Datos!Q23)),(Datos!P23-Datos!Q23)/(Datos!R23-Datos!P23+Datos!Q23)," - ")</f>
        <v>-0.14028056112224449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1740</v>
      </c>
      <c r="G31" s="1118">
        <f t="shared" si="20"/>
        <v>1740</v>
      </c>
      <c r="H31" s="1117">
        <f t="shared" si="20"/>
        <v>0</v>
      </c>
      <c r="I31" s="1119">
        <f t="shared" si="20"/>
        <v>0</v>
      </c>
      <c r="J31" s="1119">
        <f t="shared" si="20"/>
        <v>0</v>
      </c>
      <c r="K31" s="1180">
        <f t="shared" si="20"/>
        <v>0</v>
      </c>
      <c r="L31" s="1119">
        <f t="shared" si="20"/>
        <v>852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3011</v>
      </c>
      <c r="X31" s="1118">
        <f t="shared" si="21"/>
        <v>966</v>
      </c>
      <c r="Y31" s="1125">
        <f t="shared" si="21"/>
        <v>3811</v>
      </c>
      <c r="Z31" s="1125">
        <f t="shared" si="21"/>
        <v>0</v>
      </c>
      <c r="AA31" s="1125">
        <f t="shared" si="21"/>
        <v>1934</v>
      </c>
      <c r="AB31" s="1125">
        <f t="shared" si="21"/>
        <v>9445</v>
      </c>
      <c r="AC31" s="1125">
        <f t="shared" si="21"/>
        <v>2425</v>
      </c>
      <c r="AD31" s="1125">
        <f t="shared" si="21"/>
        <v>0</v>
      </c>
      <c r="AE31" s="1127">
        <f t="shared" si="21"/>
        <v>0</v>
      </c>
      <c r="AF31" s="1128">
        <f t="shared" si="21"/>
        <v>0</v>
      </c>
      <c r="AG31" s="1129">
        <f t="shared" si="21"/>
        <v>0</v>
      </c>
      <c r="AH31" s="1127">
        <f t="shared" si="21"/>
        <v>0</v>
      </c>
      <c r="AI31" s="1117">
        <f t="shared" si="21"/>
        <v>1499</v>
      </c>
      <c r="AJ31" s="1117">
        <f t="shared" si="21"/>
        <v>0</v>
      </c>
      <c r="AK31" s="1127">
        <f t="shared" si="21"/>
        <v>0</v>
      </c>
      <c r="AL31" s="1183">
        <f>IF(ISNUMBER(NºAsuntos!G31/NºAsuntos!E31),NºAsuntos!G31/NºAsuntos!E31," - ")</f>
        <v>0.9560951272243472</v>
      </c>
      <c r="AM31" s="1184">
        <f>IF(ISNUMBER(((NºAsuntos!I31/NºAsuntos!G31)*11)/factor_trimestre),((NºAsuntos!I31/NºAsuntos!G31)*11)/factor_trimestre," - ")</f>
        <v>3.4816489824317274</v>
      </c>
      <c r="AN31" s="1184">
        <f>IF(ISNUMBER('Resol  Asuntos'!D31/NºAsuntos!G31),'Resol  Asuntos'!D31/NºAsuntos!G31," - ")</f>
        <v>0.26074099843451037</v>
      </c>
      <c r="AO31" s="1185">
        <f>IF(ISNUMBER((NºAsuntos!C31+NºAsuntos!E31)/NºAsuntos!G31),(NºAsuntos!C31+NºAsuntos!E31)/NºAsuntos!G31," - ")</f>
        <v>2.7303878935467036</v>
      </c>
      <c r="AP31" s="1186" t="str">
        <f t="shared" si="2"/>
        <v xml:space="preserve"> - </v>
      </c>
      <c r="AQ31" s="1187">
        <f>IF(OR(ISNUMBER(FIND("01",Criterios!A8,1)),ISNUMBER(FIND("02",Criterios!A8,1)),ISNUMBER(FIND("03",Criterios!A8,1)),ISNUMBER(FIND("04",Criterios!A8,1))),(I31-W31+K31)/(F31-K31),(H31-W31+K31)/(F31-K31))</f>
        <v>-1.7304597701149425</v>
      </c>
      <c r="AR31" s="1188">
        <f>IF(ISNUMBER((Datos!P31-Datos!Q31)/(Datos!R31-Datos!P31+Datos!Q31)),(Datos!P31-Datos!Q31)/(Datos!R31-Datos!P31+Datos!Q31)," - ")</f>
        <v>-1.1925933675070614E-2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2.4097754135727354</v>
      </c>
      <c r="F33" s="276">
        <f>IF(ISNUMBER(STDEV(F8:F30)),STDEV(F8:F30),"-")</f>
        <v>811.74122078640903</v>
      </c>
      <c r="G33" s="277">
        <f>IF(ISNUMBER(STDEV(G8:G30)),STDEV(G8:G30),"-")</f>
        <v>755.08277691919318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1325.8550610293505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441.58137541240473</v>
      </c>
      <c r="AJ33" s="276">
        <f t="shared" si="25"/>
        <v>0</v>
      </c>
      <c r="AK33" s="278">
        <f t="shared" si="25"/>
        <v>0</v>
      </c>
      <c r="AL33" s="273">
        <f t="shared" si="25"/>
        <v>0.4235604197974604</v>
      </c>
      <c r="AM33" s="274">
        <f t="shared" si="25"/>
        <v>2.3614882404051301</v>
      </c>
      <c r="AN33" s="274">
        <f t="shared" si="25"/>
        <v>0.2177483470416359</v>
      </c>
      <c r="AO33" s="275">
        <f t="shared" si="25"/>
        <v>1.1919962204003693</v>
      </c>
      <c r="AP33" s="317" t="str">
        <f t="shared" si="25"/>
        <v>-</v>
      </c>
      <c r="AQ33" s="318">
        <f t="shared" si="25"/>
        <v>0.88124751629296205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2hTo7esF9bXqqG4pkyXFVDzqErNCKKVo5FGtlNDu/7AnTatCdZp32O3PEn7oPpnFFIoRwoOD7kvSuaFEDIHRA==" saltValue="qYZzQX1rwQcDtLPrO7cy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CRISTOBAL DE LA LAGUNA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-0.14156378600823044</v>
      </c>
      <c r="I9" s="395">
        <f>IF(ISNUMBER((Tasas!C9-Datos!BE9)/Datos!BE9),(Tasas!C9-Datos!BE9)/Datos!BE9," - ")</f>
        <v>-2.9685492498670606E-2</v>
      </c>
      <c r="J9" s="394">
        <f>IF(ISNUMBER((Tasas!D9-Datos!BF9)/Datos!BF9),(Tasas!D9-Datos!BF9)/Datos!BF9," - ")</f>
        <v>0.24494288709136472</v>
      </c>
      <c r="K9" s="396">
        <f>IF(ISNUMBER((Tasas!E9-Datos!BG9)/Datos!BG9),(Tasas!E9-Datos!BG9)/Datos!BG9," - ")</f>
        <v>-2.2335932852935749E-2</v>
      </c>
      <c r="M9" t="e">
        <f>IF(Monitorios="SI",Datos!CE9,0)</f>
        <v>#REF!</v>
      </c>
      <c r="N9" t="e">
        <f>IF(Monitorios="SI",Datos!CF9,0)</f>
        <v>#REF!</v>
      </c>
      <c r="O9" t="e">
        <f>IF(Monitorios="SI",Datos!CG9,0)</f>
        <v>#REF!</v>
      </c>
      <c r="P9" t="e">
        <f>IF(Monitorios="SI",Datos!CH9,0)</f>
        <v>#REF!</v>
      </c>
      <c r="Q9">
        <f>IF(J_V="SI",0,Datos!AG9)</f>
        <v>94</v>
      </c>
      <c r="R9">
        <f>IF(J_V="SI",0,Datos!AH9)</f>
        <v>174</v>
      </c>
      <c r="S9">
        <f>IF(J_V="SI",0,Datos!AI9)</f>
        <v>158</v>
      </c>
      <c r="T9">
        <f>IF(J_V="SI",0,Datos!AJ9)</f>
        <v>110</v>
      </c>
    </row>
    <row r="10" spans="2:20" ht="14.25">
      <c r="B10" s="300" t="s">
        <v>321</v>
      </c>
      <c r="C10" s="7" t="str">
        <f>Datos!A10</f>
        <v>Jdos. Violencia contra la mujer</v>
      </c>
      <c r="D10" s="397">
        <f>IF(ISNUMBER((Datos!I10-Datos!S10)/Datos!S10),(Datos!I10-Datos!S10)/Datos!S10," - ")</f>
        <v>0.72413793103448276</v>
      </c>
      <c r="E10" s="393">
        <f>IF(ISNUMBER((Datos!J10-Datos!T10)/Datos!T10),(Datos!J10-Datos!T10)/Datos!T10," - ")</f>
        <v>-0.51851851851851849</v>
      </c>
      <c r="F10" s="393">
        <f>IF(ISNUMBER((Datos!K10-Datos!U10)/Datos!U10),(Datos!K10-Datos!U10)/Datos!U10," - ")</f>
        <v>-0.13333333333333333</v>
      </c>
      <c r="G10" s="394">
        <f>IF(ISNUMBER((Datos!L10-Datos!V10)/Datos!V10),(Datos!L10-Datos!V10)/Datos!V10," - ")</f>
        <v>0.42307692307692307</v>
      </c>
      <c r="H10" s="244">
        <f>IF(ISNUMBER((Datos!M10-Datos!W10)/Datos!W10),(Datos!M10-Datos!W10)/Datos!W10," - ")</f>
        <v>0</v>
      </c>
      <c r="I10" s="395">
        <f>IF(ISNUMBER((Tasas!C10-Datos!BE10)/Datos!BE10),(Tasas!C10-Datos!BE10)/Datos!BE10," - ")</f>
        <v>0.64201183431952658</v>
      </c>
      <c r="J10" s="394">
        <f>IF(ISNUMBER((Tasas!D10-Datos!BF10)/Datos!BF10),(Tasas!D10-Datos!BF10)/Datos!BF10," - ")</f>
        <v>0.15384615384615383</v>
      </c>
      <c r="K10" s="396">
        <f>IF(ISNUMBER((Tasas!E10-Datos!BG10)/Datos!BG10),(Tasas!E10-Datos!BG10)/Datos!BG10," - ")</f>
        <v>0.29807692307692296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-0.13938411669367909</v>
      </c>
      <c r="I14" s="402">
        <f>IF(ISNUMBER((Tasas!C14-Datos!BE14)/Datos!BE14),(Tasas!C14-Datos!BE14)/Datos!BE14," - ")</f>
        <v>-2.713889214403167E-2</v>
      </c>
      <c r="J14" s="400">
        <f>IF(ISNUMBER((Tasas!D14-Datos!BF14)/Datos!BF14),(Tasas!D14-Datos!BF14)/Datos!BF14," - ")</f>
        <v>0.24181073258497288</v>
      </c>
      <c r="K14" s="403">
        <f>IF(ISNUMBER((Tasas!E14-Datos!BG14)/Datos!BG14),(Tasas!E14-Datos!BG14)/Datos!BG14," - ")</f>
        <v>-2.0381833026015737E-2</v>
      </c>
      <c r="M14" t="e">
        <f>IF(Monitorios="SI",Datos!CE14,0)</f>
        <v>#REF!</v>
      </c>
      <c r="N14" t="e">
        <f>IF(Monitorios="SI",Datos!CF14,0)</f>
        <v>#REF!</v>
      </c>
      <c r="O14" t="e">
        <f>IF(Monitorios="SI",Datos!CG14,0)</f>
        <v>#REF!</v>
      </c>
      <c r="P14" t="e">
        <f>IF(Monitorios="SI",Datos!CH14,0)</f>
        <v>#REF!</v>
      </c>
      <c r="Q14">
        <f>IF(J_V="SI",0,Datos!AG14)</f>
        <v>94</v>
      </c>
      <c r="R14">
        <f>IF(J_V="SI",0,Datos!AH14)</f>
        <v>174</v>
      </c>
      <c r="S14">
        <f>IF(J_V="SI",0,Datos!AI14)</f>
        <v>158</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0.27052384675527757</v>
      </c>
      <c r="E16" s="393">
        <f>IF(ISNUMBER(
   IF(D_I="SI",(Datos!J16-Datos!T16)/Datos!T16,(Datos!J16+Datos!AD16-(Datos!T16+Datos!AL16))/(Datos!T16+Datos!AL16))
     ),IF(D_I="SI",(Datos!J16-Datos!T16)/Datos!T16,(Datos!J16+Datos!AD16-(Datos!T16+Datos!AL16))/(Datos!T16+Datos!AL16))," - ")</f>
        <v>6.1759425493716338E-2</v>
      </c>
      <c r="F16" s="393">
        <f>IF(ISNUMBER(
   IF(D_I="SI",(Datos!K16-Datos!U16)/Datos!U16,(Datos!K16+Datos!AE16-(Datos!U16+Datos!AM16))/(Datos!U16+Datos!AM16))
     ),IF(D_I="SI",(Datos!K16-Datos!U16)/Datos!U16,(Datos!K16+Datos!AE16-(Datos!U16+Datos!AM16))/(Datos!U16+Datos!AM16))," - ")</f>
        <v>6.117824773413897E-2</v>
      </c>
      <c r="G16" s="394">
        <f>IF(ISNUMBER(
   IF(D_I="SI",(Datos!L16-Datos!V16)/Datos!V16,(Datos!L16+Datos!AF16-(Datos!V16+Datos!AN16))/(Datos!V16+Datos!AN16))
     ),IF(D_I="SI",(Datos!L16-Datos!V16)/Datos!V16,(Datos!L16+Datos!AF16-(Datos!V16+Datos!AN16))/(Datos!V16+Datos!AN16))," - ")</f>
        <v>0.22207357859531773</v>
      </c>
      <c r="H16" s="244">
        <f>IF(ISNUMBER((Datos!M16-Datos!W16)/Datos!W16),(Datos!M16-Datos!W16)/Datos!W16," - ")</f>
        <v>-3.7406483790523692E-2</v>
      </c>
      <c r="I16" s="395">
        <f>IF(ISNUMBER((Tasas!C16-Datos!BE16)/Datos!BE16),(Tasas!C16-Datos!BE16)/Datos!BE16," - ")</f>
        <v>0.15161951463359491</v>
      </c>
      <c r="J16" s="394">
        <f>IF(ISNUMBER((Tasas!D16-Datos!BF16)/Datos!BF16),(Tasas!D16-Datos!BF16)/Datos!BF16," - ")</f>
        <v>-9.2901198959895667E-2</v>
      </c>
      <c r="K16" s="396">
        <f>IF(ISNUMBER((Tasas!E16-Datos!BG16)/Datos!BG16),(Tasas!E16-Datos!BG16)/Datos!BG16," - ")</f>
        <v>6.246112029590601E-2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-3.5087719298245612E-2</v>
      </c>
      <c r="E18" s="393">
        <f>IF(ISNUMBER(
   IF(D_I="SI",(Datos!J18-Datos!T18)/Datos!T18,(Datos!J18+Datos!AD18-(Datos!T18+Datos!AL18))/(Datos!T18+Datos!AL18))
     ),IF(D_I="SI",(Datos!J18-Datos!T18)/Datos!T18,(Datos!J18+Datos!AD18-(Datos!T18+Datos!AL18))/(Datos!T18+Datos!AL18))," - ")</f>
        <v>0.19863013698630136</v>
      </c>
      <c r="F18" s="393">
        <f>IF(ISNUMBER(
   IF(D_I="SI",(Datos!K18-Datos!U18)/Datos!U18,(Datos!K18+Datos!AE18-(Datos!U18+Datos!AM18))/(Datos!U18+Datos!AM18))
     ),IF(D_I="SI",(Datos!K18-Datos!U18)/Datos!U18,(Datos!K18+Datos!AE18-(Datos!U18+Datos!AM18))/(Datos!U18+Datos!AM18))," - ")</f>
        <v>0.19863013698630136</v>
      </c>
      <c r="G18" s="394">
        <f>IF(ISNUMBER(
   IF(D_I="SI",(Datos!L18-Datos!V18)/Datos!V18,(Datos!L18+Datos!AF18-(Datos!V18+Datos!AN18))/(Datos!V18+Datos!AN18))
     ),IF(D_I="SI",(Datos!L18-Datos!V18)/Datos!V18,(Datos!L18+Datos!AF18-(Datos!V18+Datos!AN18))/(Datos!V18+Datos!AN18))," - ")</f>
        <v>5.2631578947368418E-2</v>
      </c>
      <c r="H18" s="244">
        <f>IF(ISNUMBER((Datos!M18-Datos!W18)/Datos!W18),(Datos!M18-Datos!W18)/Datos!W18," - ")</f>
        <v>0.02</v>
      </c>
      <c r="I18" s="395">
        <f>IF(ISNUMBER((Tasas!C18-Datos!BE18)/Datos!BE18),(Tasas!C18-Datos!BE18)/Datos!BE18," - ")</f>
        <v>-0.1218045112781955</v>
      </c>
      <c r="J18" s="394">
        <f>IF(ISNUMBER((Tasas!D18-Datos!BF18)/Datos!BF18),(Tasas!D18-Datos!BF18)/Datos!BF18," - ")</f>
        <v>-0.1490285714285714</v>
      </c>
      <c r="K18" s="396">
        <f>IF(ISNUMBER((Tasas!E18-Datos!BG18)/Datos!BG18),(Tasas!E18-Datos!BG18)/Datos!BG18," - ")</f>
        <v>-5.4750175932441948E-2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0.25557206537890043</v>
      </c>
      <c r="E23" s="399">
        <f>IF(ISNUMBER(
   IF(D_I="SI",(Datos!J23-Datos!T23)/Datos!T23,(Datos!J23+Datos!AD23-(Datos!T23+Datos!AL23))/(Datos!T23+Datos!AL23))
     ),IF(D_I="SI",(Datos!J23-Datos!T23)/Datos!T23,(Datos!J23+Datos!AD23-(Datos!T23+Datos!AL23))/(Datos!T23+Datos!AL23))," - ")</f>
        <v>6.8577277379733875E-2</v>
      </c>
      <c r="F23" s="399">
        <f>IF(ISNUMBER(
   IF(D_I="SI",(Datos!K23-Datos!U23)/Datos!U23,(Datos!K23+Datos!AE23-(Datos!U23+Datos!AM23))/(Datos!U23+Datos!AM23))
     ),IF(D_I="SI",(Datos!K23-Datos!U23)/Datos!U23,(Datos!K23+Datos!AE23-(Datos!U23+Datos!AM23))/(Datos!U23+Datos!AM23))," - ")</f>
        <v>6.8360773085182527E-2</v>
      </c>
      <c r="G23" s="400">
        <f>IF(ISNUMBER(
   IF(D_I="SI",(Datos!L23-Datos!V23)/Datos!V23,(Datos!L23+Datos!AF23-(Datos!V23+Datos!AN23))/(Datos!V23+Datos!AN23))
     ),IF(D_I="SI",(Datos!L23-Datos!V23)/Datos!V23,(Datos!L23+Datos!AF23-(Datos!V23+Datos!AN23))/(Datos!V23+Datos!AN23))," - ")</f>
        <v>0.21446862996158772</v>
      </c>
      <c r="H23" s="401">
        <f>IF(ISNUMBER((Datos!M23-Datos!W23)/Datos!W23),(Datos!M23-Datos!W23)/Datos!W23," - ")</f>
        <v>-3.1042128603104215E-2</v>
      </c>
      <c r="I23" s="402">
        <f>IF(ISNUMBER((Tasas!C23-Datos!BE23)/Datos!BE23),(Tasas!C23-Datos!BE23)/Datos!BE23," - ")</f>
        <v>0.13675891193054479</v>
      </c>
      <c r="J23" s="400">
        <f>IF(ISNUMBER((Tasas!D23-Datos!BF23)/Datos!BF23),(Tasas!D23-Datos!BF23)/Datos!BF23," - ")</f>
        <v>-9.3042448012419704E-2</v>
      </c>
      <c r="K23" s="403">
        <f>IF(ISNUMBER((Tasas!E23-Datos!BG23)/Datos!BG23),(Tasas!E23-Datos!BG23)/Datos!BG23," - ")</f>
        <v>5.528562460028303E-2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-9.9171863817605569E-3</v>
      </c>
      <c r="E31" s="409">
        <f>IF(ISNUMBER(
   IF(J_V="SI",(Datos!J31-Datos!T31)/Datos!T31,(Datos!J31+Datos!Z31-(Datos!T31+Datos!AH31))/(Datos!T31+Datos!AH31))
     ),IF(J_V="SI",(Datos!J31-Datos!T31)/Datos!T31,(Datos!J31+Datos!Z31-(Datos!T31+Datos!AH31))/(Datos!T31+Datos!AH31))," - ")</f>
        <v>-1.6603021749958492E-3</v>
      </c>
      <c r="F31" s="409">
        <f>IF(ISNUMBER(
   IF(J_V="SI",(Datos!K31-Datos!U31)/Datos!U31,(Datos!K31+Datos!AA31-(Datos!U31+Datos!AI31))/(Datos!U31+Datos!AI31))
     ),IF(J_V="SI",(Datos!K31-Datos!U31)/Datos!U31,(Datos!K31+Datos!AA31-(Datos!U31+Datos!AI31))/(Datos!U31+Datos!AI31))," - ")</f>
        <v>1.5007062146892656E-2</v>
      </c>
      <c r="G31" s="410">
        <f>IF(ISNUMBER(
   IF(J_V="SI",(Datos!L31-Datos!V31)/Datos!V31,(Datos!L31+Datos!AB31-(Datos!V31+Datos!AJ31))/(Datos!V31+Datos!AJ31))
     ),IF(J_V="SI",(Datos!L31-Datos!V31)/Datos!V31,(Datos!L31+Datos!AB31-(Datos!V31+Datos!AJ31))/(Datos!V31+Datos!AJ31))," - ")</f>
        <v>-2.0647812897543791E-2</v>
      </c>
      <c r="H31" s="411">
        <f>IF(ISNUMBER((Datos!M31-Datos!W31)/Datos!W31),(Datos!M31-Datos!W31)/Datos!W31," - ")</f>
        <v>-0.11038575667655787</v>
      </c>
      <c r="I31" s="408">
        <f>IF(ISNUMBER((Tasas!C31-Datos!BE31)/Datos!BE31),(Tasas!C31-Datos!BE31)/Datos!BE31," - ")</f>
        <v>-3.5127711297910584E-2</v>
      </c>
      <c r="J31" s="409">
        <f>IF(ISNUMBER((Tasas!D31-Datos!BF31)/Datos!BF31),(Tasas!D31-Datos!BF31)/Datos!BF31," - ")</f>
        <v>0.10294026522260405</v>
      </c>
      <c r="K31" s="410">
        <f>IF(ISNUMBER((Tasas!E31-Datos!BG31)/Datos!BG31),(Tasas!E31-Datos!BG31)/Datos!BG31," - ")</f>
        <v>-2.1455515752434155E-2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0.30364086640400728</v>
      </c>
      <c r="E33" s="303">
        <f t="shared" si="1"/>
        <v>0.32033836030848062</v>
      </c>
      <c r="F33" s="303">
        <f t="shared" si="1"/>
        <v>0.1368179237346103</v>
      </c>
      <c r="G33" s="304">
        <f t="shared" si="1"/>
        <v>0.16631097505823336</v>
      </c>
      <c r="H33" s="310">
        <f t="shared" si="1"/>
        <v>6.9494487427031917E-2</v>
      </c>
      <c r="I33" s="302">
        <f t="shared" si="1"/>
        <v>0.27427500841580271</v>
      </c>
      <c r="J33" s="303">
        <f t="shared" si="1"/>
        <v>0.18224549302737661</v>
      </c>
      <c r="K33" s="304">
        <f t="shared" si="1"/>
        <v>0.12870735070095074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CFX+S+1mzGox8LgmcI4BuEvvqUPPNMsHk4hOG5icvhbnRixo+CCVyrU9VllMfJZtth0lLx6PzNuEdNWomIDlg==" saltValue="5T/p+O8okSjbKqR2dPv5B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